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goldman sachs\model\"/>
    </mc:Choice>
  </mc:AlternateContent>
  <xr:revisionPtr revIDLastSave="0" documentId="13_ncr:1_{D068685D-87C1-448E-8B8E-B45BE4F5E34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ver" sheetId="1" r:id="rId1"/>
    <sheet name="Historicals" sheetId="2" r:id="rId2"/>
    <sheet name="Inputs" sheetId="3" r:id="rId3"/>
    <sheet name="Commodity" sheetId="4" r:id="rId4"/>
    <sheet name="Forecast" sheetId="5" r:id="rId5"/>
    <sheet name="DCF" sheetId="6" r:id="rId6"/>
    <sheet name="Comps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5" i="4" l="1"/>
  <c r="B7" i="4" s="1"/>
  <c r="C35" i="4"/>
  <c r="B6" i="4" s="1"/>
  <c r="B35" i="4"/>
  <c r="B13" i="5"/>
  <c r="F66" i="2"/>
  <c r="F65" i="2"/>
  <c r="E65" i="2"/>
  <c r="E66" i="2" s="1"/>
  <c r="J10" i="7"/>
  <c r="F10" i="7"/>
  <c r="I10" i="7" s="1"/>
  <c r="J9" i="7"/>
  <c r="F9" i="7"/>
  <c r="I9" i="7" s="1"/>
  <c r="J8" i="7"/>
  <c r="F8" i="7"/>
  <c r="I8" i="7" s="1"/>
  <c r="J7" i="7"/>
  <c r="F7" i="7"/>
  <c r="I7" i="7" s="1"/>
  <c r="J6" i="7"/>
  <c r="F6" i="7"/>
  <c r="I6" i="7" s="1"/>
  <c r="H5" i="7"/>
  <c r="C5" i="7"/>
  <c r="F30" i="6"/>
  <c r="E30" i="6"/>
  <c r="D30" i="6"/>
  <c r="C30" i="6"/>
  <c r="B30" i="6"/>
  <c r="B27" i="6"/>
  <c r="B23" i="6"/>
  <c r="B21" i="6"/>
  <c r="B31" i="5"/>
  <c r="B33" i="5" s="1"/>
  <c r="B30" i="5"/>
  <c r="B27" i="5"/>
  <c r="G27" i="5" s="1"/>
  <c r="G26" i="5"/>
  <c r="F26" i="5"/>
  <c r="E26" i="5"/>
  <c r="D26" i="5"/>
  <c r="C26" i="5"/>
  <c r="B26" i="5"/>
  <c r="B24" i="5"/>
  <c r="B18" i="5"/>
  <c r="C18" i="5" s="1"/>
  <c r="D18" i="5" s="1"/>
  <c r="E18" i="5" s="1"/>
  <c r="F18" i="5" s="1"/>
  <c r="G18" i="5" s="1"/>
  <c r="B17" i="5"/>
  <c r="C17" i="5" s="1"/>
  <c r="D17" i="5" s="1"/>
  <c r="E17" i="5" s="1"/>
  <c r="F17" i="5" s="1"/>
  <c r="G17" i="5" s="1"/>
  <c r="B16" i="5"/>
  <c r="B28" i="3"/>
  <c r="B18" i="3"/>
  <c r="B10" i="3"/>
  <c r="B11" i="3" s="1"/>
  <c r="B8" i="3"/>
  <c r="D5" i="7" s="1"/>
  <c r="F61" i="2"/>
  <c r="B17" i="1" s="1"/>
  <c r="F59" i="2"/>
  <c r="B19" i="5" s="1"/>
  <c r="C19" i="5" s="1"/>
  <c r="D19" i="5" s="1"/>
  <c r="E19" i="5" s="1"/>
  <c r="F19" i="5" s="1"/>
  <c r="G19" i="5" s="1"/>
  <c r="F43" i="2"/>
  <c r="F44" i="2" s="1"/>
  <c r="B12" i="5" s="1"/>
  <c r="E43" i="2"/>
  <c r="E44" i="2" s="1"/>
  <c r="D43" i="2"/>
  <c r="D44" i="2" s="1"/>
  <c r="C43" i="2"/>
  <c r="C44" i="2" s="1"/>
  <c r="B43" i="2"/>
  <c r="B44" i="2" s="1"/>
  <c r="F34" i="2"/>
  <c r="E34" i="2"/>
  <c r="D34" i="2"/>
  <c r="C34" i="2"/>
  <c r="B34" i="2"/>
  <c r="F26" i="2"/>
  <c r="F36" i="2" s="1"/>
  <c r="E26" i="2"/>
  <c r="E29" i="2" s="1"/>
  <c r="D26" i="2"/>
  <c r="D29" i="2" s="1"/>
  <c r="C26" i="2"/>
  <c r="C36" i="2" s="1"/>
  <c r="B26" i="2"/>
  <c r="B36" i="2" s="1"/>
  <c r="F21" i="2"/>
  <c r="B11" i="5" s="1"/>
  <c r="E21" i="2"/>
  <c r="D21" i="2"/>
  <c r="C21" i="2"/>
  <c r="B21" i="2"/>
  <c r="F20" i="2"/>
  <c r="E20" i="2"/>
  <c r="D20" i="2"/>
  <c r="C20" i="2"/>
  <c r="B20" i="2"/>
  <c r="D14" i="2"/>
  <c r="D16" i="2" s="1"/>
  <c r="B14" i="2"/>
  <c r="B16" i="2" s="1"/>
  <c r="F10" i="2"/>
  <c r="K5" i="7" s="1"/>
  <c r="E10" i="2"/>
  <c r="D10" i="2"/>
  <c r="C10" i="2"/>
  <c r="F8" i="2"/>
  <c r="F14" i="2" s="1"/>
  <c r="F16" i="2" s="1"/>
  <c r="E8" i="2"/>
  <c r="E45" i="2" s="1"/>
  <c r="D8" i="2"/>
  <c r="D45" i="2" s="1"/>
  <c r="C8" i="2"/>
  <c r="C9" i="2" s="1"/>
  <c r="B8" i="2"/>
  <c r="B45" i="2" s="1"/>
  <c r="B15" i="1"/>
  <c r="B13" i="1"/>
  <c r="B5" i="1"/>
  <c r="E20" i="4" l="1"/>
  <c r="C18" i="4"/>
  <c r="C20" i="4"/>
  <c r="F17" i="4"/>
  <c r="D20" i="4"/>
  <c r="B18" i="4"/>
  <c r="D17" i="4"/>
  <c r="B20" i="4"/>
  <c r="E17" i="4"/>
  <c r="F19" i="4"/>
  <c r="E19" i="4"/>
  <c r="C17" i="4"/>
  <c r="F21" i="4"/>
  <c r="D19" i="4"/>
  <c r="B17" i="4"/>
  <c r="E21" i="4"/>
  <c r="B13" i="4"/>
  <c r="D10" i="5" s="1"/>
  <c r="D22" i="5" s="1"/>
  <c r="D21" i="4"/>
  <c r="D18" i="4"/>
  <c r="C19" i="4"/>
  <c r="B19" i="4"/>
  <c r="F20" i="4"/>
  <c r="C21" i="4"/>
  <c r="F18" i="4"/>
  <c r="B21" i="4"/>
  <c r="E18" i="4"/>
  <c r="E14" i="2"/>
  <c r="E16" i="2" s="1"/>
  <c r="B20" i="5"/>
  <c r="D46" i="6" s="1"/>
  <c r="D27" i="5"/>
  <c r="D35" i="2"/>
  <c r="C27" i="5"/>
  <c r="E27" i="5"/>
  <c r="F45" i="2"/>
  <c r="E35" i="2"/>
  <c r="B29" i="2"/>
  <c r="B35" i="2" s="1"/>
  <c r="D36" i="2"/>
  <c r="B9" i="2"/>
  <c r="E9" i="2"/>
  <c r="C29" i="2"/>
  <c r="C35" i="2" s="1"/>
  <c r="J13" i="7"/>
  <c r="C10" i="5"/>
  <c r="C22" i="5" s="1"/>
  <c r="E10" i="5"/>
  <c r="E22" i="5" s="1"/>
  <c r="F10" i="5"/>
  <c r="F22" i="5" s="1"/>
  <c r="G10" i="5"/>
  <c r="G22" i="5" s="1"/>
  <c r="J5" i="7"/>
  <c r="I13" i="7"/>
  <c r="I12" i="7"/>
  <c r="B17" i="7" s="1"/>
  <c r="B39" i="5"/>
  <c r="E5" i="7"/>
  <c r="F5" i="7" s="1"/>
  <c r="B19" i="6"/>
  <c r="D9" i="2"/>
  <c r="F29" i="2"/>
  <c r="F35" i="2" s="1"/>
  <c r="B12" i="3"/>
  <c r="B14" i="1" s="1"/>
  <c r="B21" i="5"/>
  <c r="B23" i="5"/>
  <c r="B25" i="5" s="1"/>
  <c r="B28" i="5" s="1"/>
  <c r="B29" i="5" s="1"/>
  <c r="E36" i="2"/>
  <c r="B21" i="3"/>
  <c r="B22" i="3" s="1"/>
  <c r="C44" i="6" s="1"/>
  <c r="B12" i="1"/>
  <c r="F9" i="2"/>
  <c r="C45" i="2"/>
  <c r="F27" i="5"/>
  <c r="J12" i="7"/>
  <c r="B16" i="7" s="1"/>
  <c r="C16" i="5"/>
  <c r="C14" i="2"/>
  <c r="C16" i="2" s="1"/>
  <c r="G5" i="7"/>
  <c r="E47" i="6" l="1"/>
  <c r="D47" i="6"/>
  <c r="C47" i="6"/>
  <c r="B47" i="6"/>
  <c r="E45" i="6"/>
  <c r="B43" i="6"/>
  <c r="B18" i="7"/>
  <c r="B7" i="1" s="1"/>
  <c r="E41" i="6"/>
  <c r="D41" i="6"/>
  <c r="C41" i="6"/>
  <c r="C43" i="6"/>
  <c r="C46" i="6"/>
  <c r="E44" i="6"/>
  <c r="D43" i="6"/>
  <c r="B42" i="6"/>
  <c r="B45" i="6"/>
  <c r="E43" i="6"/>
  <c r="C42" i="6"/>
  <c r="E46" i="6"/>
  <c r="C45" i="6"/>
  <c r="B41" i="6"/>
  <c r="D42" i="6"/>
  <c r="B44" i="6"/>
  <c r="D45" i="6"/>
  <c r="E42" i="6"/>
  <c r="I5" i="7"/>
  <c r="D16" i="5"/>
  <c r="C20" i="5"/>
  <c r="B22" i="5"/>
  <c r="B16" i="1"/>
  <c r="B9" i="5"/>
  <c r="A35" i="6"/>
  <c r="A33" i="6"/>
  <c r="A31" i="6"/>
  <c r="D11" i="6"/>
  <c r="C11" i="6"/>
  <c r="K11" i="6"/>
  <c r="A34" i="6"/>
  <c r="A32" i="6"/>
  <c r="J11" i="6"/>
  <c r="B26" i="6"/>
  <c r="I11" i="6"/>
  <c r="F11" i="6"/>
  <c r="B11" i="6"/>
  <c r="H11" i="6"/>
  <c r="G11" i="6"/>
  <c r="E11" i="6"/>
  <c r="B46" i="6"/>
  <c r="D44" i="6"/>
  <c r="D20" i="5" l="1"/>
  <c r="E16" i="5"/>
  <c r="C39" i="5"/>
  <c r="C40" i="5" s="1"/>
  <c r="C24" i="5"/>
  <c r="C37" i="5" s="1"/>
  <c r="B25" i="4"/>
  <c r="B7" i="6"/>
  <c r="C23" i="5"/>
  <c r="C38" i="5"/>
  <c r="C21" i="5"/>
  <c r="B8" i="6" s="1"/>
  <c r="B26" i="4" l="1"/>
  <c r="C25" i="5"/>
  <c r="E20" i="5"/>
  <c r="F16" i="5"/>
  <c r="D24" i="5"/>
  <c r="D37" i="5" s="1"/>
  <c r="C7" i="6"/>
  <c r="D38" i="5"/>
  <c r="D23" i="5"/>
  <c r="D25" i="5" s="1"/>
  <c r="D21" i="5"/>
  <c r="C8" i="6" s="1"/>
  <c r="D39" i="5"/>
  <c r="D40" i="5" s="1"/>
  <c r="D28" i="5" l="1"/>
  <c r="D36" i="5"/>
  <c r="D41" i="5" s="1"/>
  <c r="G16" i="5"/>
  <c r="G20" i="5" s="1"/>
  <c r="F20" i="5"/>
  <c r="E39" i="5"/>
  <c r="E40" i="5" s="1"/>
  <c r="D7" i="6"/>
  <c r="E38" i="5"/>
  <c r="E23" i="5"/>
  <c r="E21" i="5"/>
  <c r="D8" i="6" s="1"/>
  <c r="E24" i="5"/>
  <c r="E37" i="5" s="1"/>
  <c r="C28" i="5"/>
  <c r="C36" i="5"/>
  <c r="C41" i="5" s="1"/>
  <c r="C29" i="5" l="1"/>
  <c r="C30" i="5" s="1"/>
  <c r="C31" i="5" s="1"/>
  <c r="E25" i="5"/>
  <c r="F24" i="5"/>
  <c r="F37" i="5" s="1"/>
  <c r="E7" i="6"/>
  <c r="F38" i="5"/>
  <c r="F23" i="5"/>
  <c r="F25" i="5" s="1"/>
  <c r="F21" i="5"/>
  <c r="E8" i="6" s="1"/>
  <c r="F39" i="5"/>
  <c r="F40" i="5" s="1"/>
  <c r="G24" i="5"/>
  <c r="G37" i="5" s="1"/>
  <c r="G38" i="5"/>
  <c r="G23" i="5"/>
  <c r="G21" i="5"/>
  <c r="F8" i="6" s="1"/>
  <c r="G39" i="5"/>
  <c r="F7" i="6"/>
  <c r="C10" i="6"/>
  <c r="C12" i="6" s="1"/>
  <c r="D42" i="5"/>
  <c r="C9" i="6" s="1"/>
  <c r="B10" i="6"/>
  <c r="C42" i="5"/>
  <c r="B9" i="6" s="1"/>
  <c r="D29" i="5"/>
  <c r="D30" i="5" s="1"/>
  <c r="D31" i="5" s="1"/>
  <c r="D32" i="5" l="1"/>
  <c r="D33" i="5"/>
  <c r="C32" i="5"/>
  <c r="C33" i="5"/>
  <c r="B12" i="6"/>
  <c r="F28" i="5"/>
  <c r="F36" i="5"/>
  <c r="F41" i="5" s="1"/>
  <c r="G7" i="6"/>
  <c r="G40" i="5"/>
  <c r="E36" i="5"/>
  <c r="E41" i="5" s="1"/>
  <c r="E28" i="5"/>
  <c r="J8" i="6"/>
  <c r="I8" i="6"/>
  <c r="G8" i="6"/>
  <c r="H8" i="6"/>
  <c r="K8" i="6"/>
  <c r="G25" i="5"/>
  <c r="D10" i="6" l="1"/>
  <c r="D12" i="6" s="1"/>
  <c r="E42" i="5"/>
  <c r="D9" i="6" s="1"/>
  <c r="H7" i="6"/>
  <c r="E10" i="6"/>
  <c r="E12" i="6" s="1"/>
  <c r="F42" i="5"/>
  <c r="E9" i="6" s="1"/>
  <c r="F29" i="5"/>
  <c r="F30" i="5" s="1"/>
  <c r="F31" i="5" s="1"/>
  <c r="G28" i="5"/>
  <c r="G36" i="5"/>
  <c r="G41" i="5" s="1"/>
  <c r="E29" i="5"/>
  <c r="E30" i="5" s="1"/>
  <c r="E31" i="5" s="1"/>
  <c r="F32" i="5" l="1"/>
  <c r="F33" i="5"/>
  <c r="E32" i="5"/>
  <c r="E33" i="5"/>
  <c r="F10" i="6"/>
  <c r="F12" i="6" s="1"/>
  <c r="G42" i="5"/>
  <c r="F9" i="6" s="1"/>
  <c r="G29" i="5"/>
  <c r="G30" i="5" s="1"/>
  <c r="G31" i="5" s="1"/>
  <c r="I7" i="6"/>
  <c r="G32" i="5" l="1"/>
  <c r="G33" i="5"/>
  <c r="J7" i="6"/>
  <c r="K9" i="6"/>
  <c r="I9" i="6"/>
  <c r="I10" i="6" s="1"/>
  <c r="I12" i="6" s="1"/>
  <c r="G9" i="6"/>
  <c r="G10" i="6" s="1"/>
  <c r="G12" i="6" s="1"/>
  <c r="H9" i="6"/>
  <c r="H10" i="6" s="1"/>
  <c r="H12" i="6" s="1"/>
  <c r="J9" i="6"/>
  <c r="J10" i="6" l="1"/>
  <c r="J12" i="6" s="1"/>
  <c r="K7" i="6"/>
  <c r="K10" i="6" s="1"/>
  <c r="K12" i="6" l="1"/>
  <c r="B15" i="6" s="1"/>
  <c r="B16" i="6"/>
  <c r="B17" i="6" s="1"/>
  <c r="D35" i="6"/>
  <c r="F33" i="6"/>
  <c r="F31" i="6"/>
  <c r="F32" i="6"/>
  <c r="B33" i="6"/>
  <c r="F34" i="6"/>
  <c r="B31" i="6"/>
  <c r="E35" i="6"/>
  <c r="D34" i="6"/>
  <c r="E31" i="6"/>
  <c r="B32" i="6"/>
  <c r="C33" i="6"/>
  <c r="E32" i="6"/>
  <c r="B34" i="6"/>
  <c r="D33" i="6"/>
  <c r="C35" i="6"/>
  <c r="B35" i="6"/>
  <c r="C31" i="6"/>
  <c r="F35" i="6"/>
  <c r="E34" i="6"/>
  <c r="D31" i="6"/>
  <c r="C34" i="6"/>
  <c r="C32" i="6"/>
  <c r="D32" i="6"/>
  <c r="E33" i="6"/>
  <c r="B18" i="6" l="1"/>
  <c r="B20" i="6" s="1"/>
  <c r="B22" i="6" s="1"/>
  <c r="B6" i="1" s="1"/>
  <c r="B8" i="1" l="1"/>
  <c r="B9" i="1" s="1"/>
  <c r="B10" i="1" s="1"/>
  <c r="B24" i="6"/>
  <c r="B25" i="6"/>
  <c r="B18" i="1" s="1"/>
</calcChain>
</file>

<file path=xl/sharedStrings.xml><?xml version="1.0" encoding="utf-8"?>
<sst xmlns="http://schemas.openxmlformats.org/spreadsheetml/2006/main" count="401" uniqueCount="360">
  <si>
    <t>CG Power and Industrial Solutions (NSE: CGPOWER)</t>
  </si>
  <si>
    <t>Initiating-coverage model · Independent student research by Utkarsh Vaibhav · Not investment advice</t>
  </si>
  <si>
    <t>Summary</t>
  </si>
  <si>
    <t>Value</t>
  </si>
  <si>
    <t>Note</t>
  </si>
  <si>
    <t>Current price (₹)</t>
  </si>
  <si>
    <t>DCF value per share (₹)</t>
  </si>
  <si>
    <t>3-stage DCF (DCF sheet)</t>
  </si>
  <si>
    <t>Comps value per share (₹)</t>
  </si>
  <si>
    <t>Peer median P/E and EV/EBITDA</t>
  </si>
  <si>
    <t>Target price (₹)</t>
  </si>
  <si>
    <t>DCF only until comps are filled; then weighted per Inputs</t>
  </si>
  <si>
    <t>Upside / (downside)</t>
  </si>
  <si>
    <t>Model rating</t>
  </si>
  <si>
    <t>Mechanical output. The final call — and the argument for it — is yours.</t>
  </si>
  <si>
    <t>Market cap (₹ Cr)</t>
  </si>
  <si>
    <t>P/E on FY26 EPS</t>
  </si>
  <si>
    <t>EV/EBITDA on FY26</t>
  </si>
  <si>
    <t>FY26 revenue (₹ Cr)</t>
  </si>
  <si>
    <t>+25% YoY</t>
  </si>
  <si>
    <t>FY26 EBITDA margin</t>
  </si>
  <si>
    <t>Order backlog ÷ FY26 revenue</t>
  </si>
  <si>
    <t>Revenue visibility</t>
  </si>
  <si>
    <t>Terminal value % of DCF EV</t>
  </si>
  <si>
    <t>How much of the value is far in the future</t>
  </si>
  <si>
    <t>Colour legend</t>
  </si>
  <si>
    <t>Blue text</t>
  </si>
  <si>
    <t>Hard-coded input (from a source or your assumption)</t>
  </si>
  <si>
    <t>Black text</t>
  </si>
  <si>
    <t>Formula</t>
  </si>
  <si>
    <t>Green text</t>
  </si>
  <si>
    <t>Link to another sheet</t>
  </si>
  <si>
    <t>Yellow fill</t>
  </si>
  <si>
    <t>Key assumption: verify it or be ready to justify it</t>
  </si>
  <si>
    <t>Sources</t>
  </si>
  <si>
    <t>Screener.in, CG Power consolidated financials (C-MOTS data), accessed 30 Sep 2026: https://www.screener.in/company/CGPOWER/consolidated/</t>
  </si>
  <si>
    <t>CG Power Q4 FY26 press release (standalone results, segments): https://www.murugappa.com/uploads/Press_Release_CG_Power_Q4_FY_2025_26_188d756928.pdf</t>
  </si>
  <si>
    <t>CG Power Q4 FY26 earnings call transcript (May 2026): https://www.cgglobal.com/CGGLOBAL_BACKEND/admin/uploads/IIFL-CGPower-May06-2026_v2.pdf</t>
  </si>
  <si>
    <t>FY26 annual report (BSE): https://www.bseindia.com/xml-data/corpfiling/AttachHis/4cdafd20-7174-41ed-b761-3178f60a1fec.pdf</t>
  </si>
  <si>
    <t>Segment revenue &amp; QIP utilisation (Investywise summary of FY26 filings); semiconductor EBIT (ChartAlert Q4 FY26 review).</t>
  </si>
  <si>
    <t>CG Power &amp; Industrial Solutions — Historical financials (consolidated)</t>
  </si>
  <si>
    <t>₹ Cr, fiscal year ends 31 March. Source: Screener.in consolidated financials (data: C-MOTS), accessed 30 Sep 2026. Verify every blue number against the annual reports before presenting.</t>
  </si>
  <si>
    <t>₹ Cr</t>
  </si>
  <si>
    <t>FY22</t>
  </si>
  <si>
    <t>FY23</t>
  </si>
  <si>
    <t>FY24</t>
  </si>
  <si>
    <t>FY25</t>
  </si>
  <si>
    <t>FY26</t>
  </si>
  <si>
    <t>Notes / source</t>
  </si>
  <si>
    <t>Profit &amp; loss</t>
  </si>
  <si>
    <t>Revenue</t>
  </si>
  <si>
    <t>Operating expenses</t>
  </si>
  <si>
    <t>EBITDA</t>
  </si>
  <si>
    <t>Revenue − operating expenses (Screener 'Operating Profit'; ±1 rounding)</t>
  </si>
  <si>
    <t>EBITDA margin</t>
  </si>
  <si>
    <t>Revenue growth</t>
  </si>
  <si>
    <t>FY21 base (₹2,964 Cr) was the post-restructuring low</t>
  </si>
  <si>
    <t>Other income</t>
  </si>
  <si>
    <t>FY22 and FY24 include large one-offs (Dec-2023 quarter alone: ₹579 Cr). Normalise before comparing profit.</t>
  </si>
  <si>
    <t>Interest</t>
  </si>
  <si>
    <t>Depreciation &amp; amortisation</t>
  </si>
  <si>
    <t>FY26 jump reflects new capacity and the semiconductor acquisition</t>
  </si>
  <si>
    <t>PBT (built up)</t>
  </si>
  <si>
    <t>PBT (reported)</t>
  </si>
  <si>
    <t>Check row: Screener reported PBT</t>
  </si>
  <si>
    <t>Check: built − reported</t>
  </si>
  <si>
    <t>Should be 0 or ±1 (rounding in source data)</t>
  </si>
  <si>
    <t>Tax rate (reported)</t>
  </si>
  <si>
    <t>Low FY22–FY24 rates reflect carried-forward losses</t>
  </si>
  <si>
    <t>Net profit (reported)</t>
  </si>
  <si>
    <t>EPS (₹, reported)</t>
  </si>
  <si>
    <t>Net profit margin</t>
  </si>
  <si>
    <t>D&amp;A % of revenue</t>
  </si>
  <si>
    <t>Balance sheet</t>
  </si>
  <si>
    <t>Equity capital</t>
  </si>
  <si>
    <t>Face value ₹2 per share</t>
  </si>
  <si>
    <t>Reserves</t>
  </si>
  <si>
    <t>FY26 jump: ₹3,000 Cr QIP completed Jul-2025</t>
  </si>
  <si>
    <t>Net worth</t>
  </si>
  <si>
    <t>Borrowings</t>
  </si>
  <si>
    <t>Almost debt-free</t>
  </si>
  <si>
    <t>Other liabilities</t>
  </si>
  <si>
    <t>Total liabilities</t>
  </si>
  <si>
    <t>Fixed assets</t>
  </si>
  <si>
    <t>Capital work in progress</t>
  </si>
  <si>
    <t>Transformer and semiconductor capacity under construction</t>
  </si>
  <si>
    <t>Investments</t>
  </si>
  <si>
    <t>Other assets</t>
  </si>
  <si>
    <t>Includes receivables, inventory, cash and bank balances</t>
  </si>
  <si>
    <t>Total assets</t>
  </si>
  <si>
    <t>Check: liabilities − assets</t>
  </si>
  <si>
    <t>Should be 0 or ±1 (rounding)</t>
  </si>
  <si>
    <t>Return on equity</t>
  </si>
  <si>
    <t>Net profit ÷ closing net worth (simple version)</t>
  </si>
  <si>
    <t>Cash flow</t>
  </si>
  <si>
    <t>Cash from operations (CFO)</t>
  </si>
  <si>
    <t>Cash from investing</t>
  </si>
  <si>
    <t>FY26: QIP money parked in deposits + capex</t>
  </si>
  <si>
    <t>Cash from financing</t>
  </si>
  <si>
    <t>FY26: QIP inflow</t>
  </si>
  <si>
    <t>Free cash flow (Screener)</t>
  </si>
  <si>
    <t>CFO − capex</t>
  </si>
  <si>
    <t>Implied capex</t>
  </si>
  <si>
    <t>Capex % of revenue</t>
  </si>
  <si>
    <t>CFO ÷ EBITDA (cash conversion)</t>
  </si>
  <si>
    <t>Falling conversion = profits tied up in working capital</t>
  </si>
  <si>
    <t>Efficiency ratios</t>
  </si>
  <si>
    <t>Debtor days</t>
  </si>
  <si>
    <t>Receivables growing faster than sales</t>
  </si>
  <si>
    <t>Inventory days</t>
  </si>
  <si>
    <t>Payable days</t>
  </si>
  <si>
    <t>Cash conversion cycle (days)</t>
  </si>
  <si>
    <t>Working capital days</t>
  </si>
  <si>
    <t>ROCE</t>
  </si>
  <si>
    <t>Falling as QIP cash and new capacity enter the base</t>
  </si>
  <si>
    <t>FY26 segments &amp; order book (consolidated)</t>
  </si>
  <si>
    <t>Power Systems revenue</t>
  </si>
  <si>
    <t>+46% YoY. Source: CG Power FY26 results (company release, May-2026)</t>
  </si>
  <si>
    <t>Industrial Systems revenue (motors, drives, railways)</t>
  </si>
  <si>
    <t>Consolidated incl. subsidiaries (standalone: ₹6,197 Cr). Source: FY26 results</t>
  </si>
  <si>
    <t>Semiconductor revenue</t>
  </si>
  <si>
    <t>Since acquisition; OSAT plant at Sanand started FY26. Source: FY26 results</t>
  </si>
  <si>
    <t>Other / eliminations</t>
  </si>
  <si>
    <t>Balancing figure to consolidated revenue</t>
  </si>
  <si>
    <t>Order backlog, 31-Mar-2026</t>
  </si>
  <si>
    <t>+61% YoY. Source: Q4 FY26 earnings call</t>
  </si>
  <si>
    <t>Backlog ÷ FY26 revenue</t>
  </si>
  <si>
    <t>Key inputs &amp; assumptions</t>
  </si>
  <si>
    <t>Blue = hard-coded input · Yellow fill = assumption you must verify or justify · Black = formula · Green = link to another sheet</t>
  </si>
  <si>
    <t>Input</t>
  </si>
  <si>
    <t>Source / why</t>
  </si>
  <si>
    <t>Market data</t>
  </si>
  <si>
    <t>Share price, CMP (₹)</t>
  </si>
  <si>
    <t>Shares outstanding (Cr)</t>
  </si>
  <si>
    <t>Price × shares</t>
  </si>
  <si>
    <t>Cash &amp; investments (₹ Cr)</t>
  </si>
  <si>
    <t>Borrowings (₹ Cr)</t>
  </si>
  <si>
    <t>31-Mar-2026 balance sheet</t>
  </si>
  <si>
    <t>Net cash (₹ Cr)</t>
  </si>
  <si>
    <t>Cash − debt</t>
  </si>
  <si>
    <t>Enterprise value at CMP (₹ Cr)</t>
  </si>
  <si>
    <t>Market cap − net cash</t>
  </si>
  <si>
    <t>Cost of capital</t>
  </si>
  <si>
    <t>Risk-free rate</t>
  </si>
  <si>
    <t>Equity risk premium</t>
  </si>
  <si>
    <t>Your assumption — be ready to justify it (India ranges ~5–7%)</t>
  </si>
  <si>
    <t>Beta</t>
  </si>
  <si>
    <t>Cost of equity</t>
  </si>
  <si>
    <t>CAPM: Rf + β × ERP</t>
  </si>
  <si>
    <t>Pre-tax cost of debt</t>
  </si>
  <si>
    <t>Approximate AAA-corporate borrowing cost; small impact (debt ≈ 0)</t>
  </si>
  <si>
    <t>Tax rate</t>
  </si>
  <si>
    <t>Indian corporate rate under Sec 115BAA incl. surcharge &amp; cess; FY26 effective 26%</t>
  </si>
  <si>
    <t>Debt weight</t>
  </si>
  <si>
    <t>Market-value weights</t>
  </si>
  <si>
    <t>WACC</t>
  </si>
  <si>
    <t>Weighted average cost of capital</t>
  </si>
  <si>
    <t>Terminal growth</t>
  </si>
  <si>
    <t>Long-run nominal growth after FY36; must stay below WACC</t>
  </si>
  <si>
    <t>Treasury yield on cash</t>
  </si>
  <si>
    <t>Drives forecast other income</t>
  </si>
  <si>
    <t>Target price &amp; rating rules</t>
  </si>
  <si>
    <t>DCF weight in target price</t>
  </si>
  <si>
    <t>Your choice; comps get the rest</t>
  </si>
  <si>
    <t>Comps weight in target price</t>
  </si>
  <si>
    <t>BUY if upside at least</t>
  </si>
  <si>
    <t>Rating rule</t>
  </si>
  <si>
    <t>SELL if downside at least</t>
  </si>
  <si>
    <t>Copper &amp; electrical-steel sensitivity</t>
  </si>
  <si>
    <t>Raw material cost % of revenue</t>
  </si>
  <si>
    <t>Copper share of raw material cost</t>
  </si>
  <si>
    <t>Electrical steel share of raw material cost</t>
  </si>
  <si>
    <t>Price pass-through within the year</t>
  </si>
  <si>
    <t>Scenario that feeds the Forecast sheet</t>
  </si>
  <si>
    <t>Copper price change vs FY26 average</t>
  </si>
  <si>
    <t>Try +10% to see the margin hit flow through to the DCF</t>
  </si>
  <si>
    <t>Electrical steel price change vs FY26 average</t>
  </si>
  <si>
    <t>EBITDA margin impact (percentage points)</t>
  </si>
  <si>
    <t>Negative = margin squeeze. Linked into Forecast row 'Commodity margin impact'.</t>
  </si>
  <si>
    <t>Sensitivity: EBITDA margin impact in basis points (100 bps = 1 percentage point)</t>
  </si>
  <si>
    <t>Copper change ↓ / Steel change →</t>
  </si>
  <si>
    <t>Rupee impact</t>
  </si>
  <si>
    <t>Test copper move</t>
  </si>
  <si>
    <t>FY27E EBITDA impact (₹ Cr)</t>
  </si>
  <si>
    <t>Raw material × copper share × move × unrecovered share × FY27E revenue</t>
  </si>
  <si>
    <t>As % of FY27E EBITDA</t>
  </si>
  <si>
    <t>Forecast FY27E–FY31E</t>
  </si>
  <si>
    <t>₹ Cr. Edit the yellow driver rows; every projection below is a formula. FY26A column links to Historicals.</t>
  </si>
  <si>
    <t>FY26A</t>
  </si>
  <si>
    <t>FY27E</t>
  </si>
  <si>
    <t>FY28E</t>
  </si>
  <si>
    <t>FY29E</t>
  </si>
  <si>
    <t>FY30E</t>
  </si>
  <si>
    <t>FY31E</t>
  </si>
  <si>
    <t>Why</t>
  </si>
  <si>
    <t>Drivers (edit these)</t>
  </si>
  <si>
    <t>Power Systems revenue growth</t>
  </si>
  <si>
    <t>Industrial Systems revenue growth</t>
  </si>
  <si>
    <t>Semiconductor revenue growth</t>
  </si>
  <si>
    <t>Base EBITDA margin</t>
  </si>
  <si>
    <t>Commodity margin impact</t>
  </si>
  <si>
    <t>From the Commodity sheet scenario (0 in base case)</t>
  </si>
  <si>
    <t>FY26 1.6%; rising with new capacity.</t>
  </si>
  <si>
    <t>FY26 6.2% (transformer + semiconductor build-out), easing as projects finish.</t>
  </si>
  <si>
    <t>Net working capital % of revenue</t>
  </si>
  <si>
    <t>Income statement</t>
  </si>
  <si>
    <t>Industrial Systems revenue</t>
  </si>
  <si>
    <t>Held flat</t>
  </si>
  <si>
    <t>Total revenue</t>
  </si>
  <si>
    <t>EBIT</t>
  </si>
  <si>
    <t>Yield on cash; excluded from FCFF</t>
  </si>
  <si>
    <t>Held at FY26 level</t>
  </si>
  <si>
    <t>PBT</t>
  </si>
  <si>
    <t>Tax</t>
  </si>
  <si>
    <t>FY26A: balancing figure to reported profit (includes minorities/exceptionals)</t>
  </si>
  <si>
    <t>Net profit</t>
  </si>
  <si>
    <t>EPS (₹)</t>
  </si>
  <si>
    <t>EPS growth</t>
  </si>
  <si>
    <t>P/E at current price</t>
  </si>
  <si>
    <t>How expensive the stock is on each year's forecast earnings</t>
  </si>
  <si>
    <t>Free cash flow to firm (FCFF)</t>
  </si>
  <si>
    <t>NOPAT = EBIT × (1 − tax)</t>
  </si>
  <si>
    <t>Add: D&amp;A</t>
  </si>
  <si>
    <t>Less: capex</t>
  </si>
  <si>
    <t>Net working capital</t>
  </si>
  <si>
    <t>Less: increase in NWC</t>
  </si>
  <si>
    <t>FCFF</t>
  </si>
  <si>
    <t>FCFF margin</t>
  </si>
  <si>
    <t>Discounted cash flow valuation</t>
  </si>
  <si>
    <t>3 stages: FY27E–FY31E from Forecast · FY32E–FY36E growth fades linearly to terminal growth at the FY31E FCFF margin · Gordon-growth terminal value. End-of-year discounting from 31-Mar-2026.</t>
  </si>
  <si>
    <t>FY32E</t>
  </si>
  <si>
    <t>FY33E</t>
  </si>
  <si>
    <t>FY34E</t>
  </si>
  <si>
    <t>FY35E</t>
  </si>
  <si>
    <t>FY36E</t>
  </si>
  <si>
    <t>Stage</t>
  </si>
  <si>
    <t>Explicit</t>
  </si>
  <si>
    <t>Fade</t>
  </si>
  <si>
    <t>Period (years from 31-Mar-2026)</t>
  </si>
  <si>
    <t>Discount factor</t>
  </si>
  <si>
    <t>PV of FCFF</t>
  </si>
  <si>
    <t>Valuation</t>
  </si>
  <si>
    <t>Sum of PV of FCFF</t>
  </si>
  <si>
    <t>Terminal value (end FY36E)</t>
  </si>
  <si>
    <t>PV of terminal value</t>
  </si>
  <si>
    <t>Enterprise value</t>
  </si>
  <si>
    <t>Add: net cash</t>
  </si>
  <si>
    <t>Equity value</t>
  </si>
  <si>
    <t>Shares (Cr)</t>
  </si>
  <si>
    <t>Terminal value as % of EV</t>
  </si>
  <si>
    <t>Sanity check: above ~75% means most of the value sits beyond FY36</t>
  </si>
  <si>
    <t>WACC used</t>
  </si>
  <si>
    <t>Terminal growth used</t>
  </si>
  <si>
    <t>Sensitivity: DCF value per share (₹) — WACC vs terminal growth</t>
  </si>
  <si>
    <t>WACC ↓ / terminal growth →</t>
  </si>
  <si>
    <t>Fade-stage cash flows use the base terminal growth; only the terminal value changes across columns.</t>
  </si>
  <si>
    <t>Reverse DCF: what is the market pricing in?</t>
  </si>
  <si>
    <t>Value per share if revenue compounds at a steady rate for 10 years at a steady FCFF margin (base WACC &amp; terminal growth). Green cells ≥ today's price.</t>
  </si>
  <si>
    <t>10-yr revenue CAGR ↓ / FCFF margin →</t>
  </si>
  <si>
    <t>Peer comparison (trading multiples)</t>
  </si>
  <si>
    <t>Fill the blue/yellow cells from Screener.in on the SAME date as the CG price (consolidated FY26). Net debt: negative if the company holds net cash. The CG row is the worked example.</t>
  </si>
  <si>
    <t>Company</t>
  </si>
  <si>
    <t>NSE ticker</t>
  </si>
  <si>
    <t>Price (₹)</t>
  </si>
  <si>
    <t>Mkt cap (₹ Cr)</t>
  </si>
  <si>
    <t>Net debt (₹ Cr)</t>
  </si>
  <si>
    <t>EV (₹ Cr)</t>
  </si>
  <si>
    <t>FY26 EBITDA</t>
  </si>
  <si>
    <t>FY26 net profit</t>
  </si>
  <si>
    <t>EV/EBITDA</t>
  </si>
  <si>
    <t>P/E</t>
  </si>
  <si>
    <t>FY26 revenue growth</t>
  </si>
  <si>
    <t>CG Power (subject)</t>
  </si>
  <si>
    <t>CGPOWER</t>
  </si>
  <si>
    <t>ABB India</t>
  </si>
  <si>
    <t>ABB</t>
  </si>
  <si>
    <t>Siemens Ltd</t>
  </si>
  <si>
    <t>SIEMENS</t>
  </si>
  <si>
    <t>Hitachi Energy India</t>
  </si>
  <si>
    <t>POWERINDIA</t>
  </si>
  <si>
    <t>GE Vernova T&amp;D India</t>
  </si>
  <si>
    <t>GVT&amp;D</t>
  </si>
  <si>
    <t>Bharat Bijlee</t>
  </si>
  <si>
    <t>BBL</t>
  </si>
  <si>
    <t>Peer median</t>
  </si>
  <si>
    <t>Peer mean</t>
  </si>
  <si>
    <t>Implied value for CG Power</t>
  </si>
  <si>
    <t>At peer median P/E (₹/share)</t>
  </si>
  <si>
    <t>At peer median EV/EBITDA (₹/share)</t>
  </si>
  <si>
    <t>Blank until peer data is filled in</t>
  </si>
  <si>
    <t>Tip: trailing (FY26) multiples flatter fast growers. If you can find consensus FY27E estimates, add forward multiples too.</t>
  </si>
  <si>
    <t>NSE closing price, 1 Oct 2026 (last trading day before this write-up; Screener.in price chart). 30 Sep close was ₹854.20; all peers priced on the same 1 Oct close.</t>
  </si>
  <si>
    <t>Screener market cap ₹1,38,484 Cr ÷ ₹879 (1 Oct 2026); cross-check: equity capital ₹314.99 Cr ÷ ₹2 face value = 157.5 Cr (FY26 annual report)</t>
  </si>
  <si>
    <t>VERIFIED, FY26 annual report consolidated balance sheet (31-Mar-2026), ₹ Cr: cash &amp; equivalents 300.7 + other bank balances 726.9 less 15.9 earmarked + current investments (liquid mutual funds) 401.7 + fixed deposits in other financial assets 1,347.6 non-current (excl. 0.2 margin money) and 1,580.1 current = 4,341. Excludes the ₹51.6 Cr strategic stake in Edge Cortix. ₹2,619 Cr of the total is unspent QIP money (note 56).</t>
  </si>
  <si>
    <t>VERIFIED: India 10-year G-sec yield 7.21% on 1 Oct 2026, a two-year high (Trading Economics; 7.15% on 29 Sep).</t>
  </si>
  <si>
    <t>VERIFIED: 2-year weekly beta vs Nifty 50 to week of 28-Sep-2026 = 1.39 raw (s.e. 0.23, R² 0.27; Yahoo Finance adjusted closes). Blume-adjusted 0.67 × 1.39 + 0.33 = 1.26 used. 3-year raw beta 1.19.</t>
  </si>
  <si>
    <t>Semiconductor segment loss FY26</t>
  </si>
  <si>
    <t>Company figure: 'total semiconductor segment impact of ₹111 Cr (89 bps)', Q4 FY26 press release. ChartAlert estimated EBIT −₹108 Cr.</t>
  </si>
  <si>
    <t>Screener EPS. Annual report basic EPS ₹7.72 (profit attributable to parent ₹1,206 Cr).</t>
  </si>
  <si>
    <t>VERIFIED, FY26 annual report: (materials consumed 8,334.7 + purchases of traded goods 426.1 − inventory build 194.6) ÷ revenue 12,418 = 69.0%</t>
  </si>
  <si>
    <t>Share of a cost increase recovered through price hikes the same year. Q4 FY26 call: motor prices raised 17.5% over 3–4 quarters, yet Industrial Systems EBITDA margin fell 12.8% → 10.6% on commodities; transformers carry price-variation clauses.</t>
  </si>
  <si>
    <t>Dec year-end: FY26 = sum of 4 quarters Jun-25 to Mar-26. Net profit excludes ₹1,442 Cr one-off gain (Mar-26 qtr). Net cash at Jun-26.</t>
  </si>
  <si>
    <t>Moved to Mar year-end (18-month FY26): sum of 4 quarters Jun-25 to Mar-26, post energy demerger. Growth approximate (restatements).</t>
  </si>
  <si>
    <t>Standalone (no consolidated accounts). Net profit adds back ₹41 Cr post-tax exceptional charge.</t>
  </si>
  <si>
    <t>Standalone. Net profit adds back ₹46 Cr net post-tax exceptional items.</t>
  </si>
  <si>
    <t>Standalone. Net debt nets ₹1,357 Cr of investments; small-cap motors peer, distorts the mean (use median).</t>
  </si>
  <si>
    <t>Basis and adjustments</t>
  </si>
  <si>
    <t>Annual FY26 consolidated (links to Historicals).</t>
  </si>
  <si>
    <t>Method: FY26 = the 12 months Apr-2025 to Mar-2026 for every company. Prices = NSE close, 1 Oct 2026; market cap = Screener.in on that close.</t>
  </si>
  <si>
    <t>Net debt = borrowings incl. lease liabilities − cash equivalents − investments, latest reported balance sheet (Mar-26; ABB India Jun-26).</t>
  </si>
  <si>
    <t>EBITDA = Screener 'Operating Profit' (excludes other income). Net profit = profit excluding exceptional items (Screener 'Profit for PE').</t>
  </si>
  <si>
    <t>NSE close, 1 Oct 2026</t>
  </si>
  <si>
    <t>Before you present this: status at 4 Oct 2026</t>
  </si>
  <si>
    <t>1. DONE: cash &amp; investments ₹4,341 Cr verified from the FY26 annual report (build-up in Inputs C9).</t>
  </si>
  <si>
    <t>2. DONE: risk-free 7.21% (10-yr G-sec, 1 Oct 2026); beta 1.26 (2-yr weekly vs Nifty 50, Blume-adjusted from 1.39).</t>
  </si>
  <si>
    <t>4. DONE: Comps filled from Screener.in at the 1 Oct 2026 close; FY26 aligned to Apr-25 to Mar-26; one-offs excluded.</t>
  </si>
  <si>
    <t>Peer financials: Screener.in (consolidated where available; standalone for Hitachi Energy India, GE Vernova T&amp;D India, Bharat Bijlee), accessed 4 Oct 2026.</t>
  </si>
  <si>
    <t>Beta: Yahoo Finance weekly adjusted closes for CGPOWER.NS and ^NSEI, Oct-2024 to Sep-2026.</t>
  </si>
  <si>
    <t>Risk-free rate: Trading Economics, India 10-year government bond yield, 1 Oct 2026.</t>
  </si>
  <si>
    <t>FY26 FCFF margin was negative (free cash flow −₹72 Cr); CG's best free-cash-flow margin in five years was 12.4% (FY23). The FY31E margin in the base case is on the Forecast sheet.</t>
  </si>
  <si>
    <t>Operating working capital (₹ Cr)</t>
  </si>
  <si>
    <t>Annual report: inventories + trade receivables + other current assets + current other financial assets excl. fixed deposits, less trade payables, other financial liabilities, other current liabilities, provisions and current tax. Excludes cash, bank deposits and liquid funds.</t>
  </si>
  <si>
    <t>Operating working capital % of revenue</t>
  </si>
  <si>
    <t>Operating working capital days</t>
  </si>
  <si>
    <t>FY26 operating working capital 6.7% of revenue (24 days), up from 4.4% in FY25 as Power Systems receivables (90–100-day credit) grow; held at 7%. Screener's 70 days includes QIP deposits.</t>
  </si>
  <si>
    <t>6. DONE: cgpower_analysis.py run on 4 Oct 2026; all 5 checks pass; charts regenerated.</t>
  </si>
  <si>
    <t>Screener. FY26 figure counts ₹1,580 Cr of fixed deposits (mostly QIP money) as working capital; the forecast uses operating working capital (row 64) instead.</t>
  </si>
  <si>
    <t>FY25 16 days matches Screener. FY26 24 days, vs Screener's 70: adding back the ₹1,580 Cr of current fixed deposits (mostly QIP money) reproduces Screener's figure.</t>
  </si>
  <si>
    <t>Peer cash uses Screener's cash and investments lines, which can miss deposits held elsewhere; CG's own net cash uses the fuller annual-report figure (Inputs B9). Missed peer cash would lower peer EV/EBITDA by a few turns at most; P/E unaffected.</t>
  </si>
  <si>
    <t>Q1 FY27 +31% (standalone segment); segment backlog ₹14,434 Cr (+59% YoY) ≈ 2.8x FY26 segment revenue; FY26 +46%. Fade as the capex cycle matures.</t>
  </si>
  <si>
    <t>FY26 standalone segment +6% and Q1 FY27 +6% again: motors grow double digits, railways flat (₹20 Cr one-off provision in Q1). 7% in FY27E, 8% after as railways stabilise. Cut from 12%.</t>
  </si>
  <si>
    <t>Commercial production at the Sanand G1 OSAT plant began 4 Jul 2026; G2 due end-2026. Segment cost ₹43 Cr in Q1 FY27 alone (₹111 Cr in FY26). Highest-uncertainty line.</t>
  </si>
  <si>
    <t>FY26 13.2%; Q1 FY27 12.1% (12.7% before a ₹20 Cr railway provision). FY27E cut to 13.0% from 13.5%. Mix shifts to Power Systems (24.1% EBITDA margin in Q1) while Industrial is at 9.6%.</t>
  </si>
  <si>
    <t>Where the copper and electrical-steel shares come from: IEEMA price-variation weights × CG's business mix</t>
  </si>
  <si>
    <t>Business</t>
  </si>
  <si>
    <t>Share of raw-material spend</t>
  </si>
  <si>
    <t>Copper % of material</t>
  </si>
  <si>
    <t>Electrical steel % of material</t>
  </si>
  <si>
    <t>Power and distribution transformers</t>
  </si>
  <si>
    <t>IEEMA PVC, power transformers up to 400 kV (Sep-2021): copper 32 and CRGO 27 of 84 material points. Mix share: assumes ~70% of Power Systems revenue.</t>
  </si>
  <si>
    <t>Switchgear and other power products</t>
  </si>
  <si>
    <t>Assumption: copper contacts and busbars; CRGO only in instrument transformers. No IEEMA weight used.</t>
  </si>
  <si>
    <t>LT and HT motors</t>
  </si>
  <si>
    <t>IEEMA PVC, LT cage motors frame 160+ (Sep-2022): copper 26 and electrical steel 27 of 82 material points. Mix share: assumes ~75% of Industrial Systems. Replace with ASA BOM shares if they differ.</t>
  </si>
  <si>
    <t>Drives, railways and other industrial</t>
  </si>
  <si>
    <t>Assumption: electronics-heavy (drives, signalling); some traction-motor copper.</t>
  </si>
  <si>
    <t>Semiconductors</t>
  </si>
  <si>
    <t>OSAT: substrates, wire and moulding compound; no copper/steel exposure assumed.</t>
  </si>
  <si>
    <t>Blended (feeds B6 and B7)</t>
  </si>
  <si>
    <t>IEEMA weights are shares of contract price; fixed and wage terms are dropped and the rest rescaled to 100% of material. Business-mix shares are the author's estimates: CG does not disclose sub-segment revenue.</t>
  </si>
  <si>
    <t>Formula: IEEMA-weighted blend (rows 28–36). Was a 20% placeholder. Swap in ASA motor BOM shares on row 32 if they differ.</t>
  </si>
  <si>
    <t>Formula: IEEMA-weighted blend (rows 28–36), CRNO laminations in motors and CRGO cores in transformers. Was a 15% placeholder.</t>
  </si>
  <si>
    <t>How much does a raw-material price move hit EBITDA margin? Copper and steel shares are built from IEEMA price-variation weights (rows 28–36).</t>
  </si>
  <si>
    <t>Street consensus target (₹)</t>
  </si>
  <si>
    <t>MarketScreener, 1 Oct 2026: 20 analysts, mean Outperform, range ₹627–1,100. Kotak Institutional Equities SELL, fair value ₹630 (27 Jul 2026).</t>
  </si>
  <si>
    <t>3. DONE: raw material 69% of revenue (annual report); copper 27% and steel 24% of material from IEEMA price-variation weights × business mix (Commodity rows 28–36). Mix shares are estimates; check motors against ASA BOMs.</t>
  </si>
  <si>
    <t>5. DONE: drivers re-checked against Q1 FY27 (Jun-26 quarter). Industrial Systems growth cut from 12% to 7–8% (+6% in FY26 and Q1); FY27E EBITDA margin cut to 13.0% (Q1 12.1%). Working capital 7% (operating).</t>
  </si>
  <si>
    <t>CG Power Q1 FY27 press release, 24 Jul 2026 (standalone segments, consolidated results, auditor change).</t>
  </si>
  <si>
    <t>IEEMA price-variation circulars: power and distribution transformers (No. 140/142, Nov-2021); rotating machines (No. 33, Nov-2022).</t>
  </si>
  <si>
    <t>Consensus: MarketScreener, 1 Oct 2026. Kotak Securities PCG one-pager on KIE's Q1 FY27 update, 27 Jul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</si>
</sst>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₹#,##0.00;&quot;(₹&quot;#,##0.00\);\-"/>
    <numFmt numFmtId="165" formatCode="\₹#,##0;&quot;(₹&quot;#,##0\);\-"/>
    <numFmt numFmtId="166" formatCode="0.0%;\(0.0%\);\-"/>
    <numFmt numFmtId="167" formatCode="#,##0;\(#,##0\);\-"/>
    <numFmt numFmtId="168" formatCode="0.0\x;\(0.0&quot;x)&quot;;\-"/>
    <numFmt numFmtId="169" formatCode="#,##0.0;\(#,##0.0\);\-"/>
    <numFmt numFmtId="170" formatCode="#,##0&quot; bps&quot;;\(#,##0&quot; bps)&quot;;\-"/>
    <numFmt numFmtId="171" formatCode="0.000"/>
  </numFmts>
  <fonts count="16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i/>
      <sz val="10"/>
      <color rgb="FF555555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sz val="10"/>
      <color rgb="FF008000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b/>
      <sz val="14"/>
      <color rgb="FF1F3864"/>
      <name val="Arial"/>
      <charset val="1"/>
    </font>
    <font>
      <b/>
      <sz val="10"/>
      <color rgb="FF0000FF"/>
      <name val="Arial"/>
      <charset val="1"/>
    </font>
    <font>
      <b/>
      <sz val="10"/>
      <color rgb="FF008000"/>
      <name val="Arial"/>
      <charset val="1"/>
    </font>
    <font>
      <sz val="11"/>
      <color rgb="FF555555"/>
      <name val="Calibri"/>
      <family val="2"/>
      <charset val="1"/>
    </font>
    <font>
      <b/>
      <sz val="11"/>
      <color theme="1"/>
      <name val="Calibri"/>
      <family val="2"/>
    </font>
    <font>
      <sz val="11"/>
      <color rgb="FF0000FF"/>
      <name val="Calibri"/>
      <family val="2"/>
      <charset val="1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C6EF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165" fontId="6" fillId="0" borderId="0" xfId="0" applyNumberFormat="1" applyFont="1"/>
    <xf numFmtId="166" fontId="6" fillId="0" borderId="0" xfId="0" applyNumberFormat="1" applyFont="1"/>
    <xf numFmtId="167" fontId="5" fillId="0" borderId="0" xfId="0" applyNumberFormat="1" applyFont="1"/>
    <xf numFmtId="168" fontId="4" fillId="0" borderId="0" xfId="0" applyNumberFormat="1" applyFont="1"/>
    <xf numFmtId="166" fontId="5" fillId="0" borderId="0" xfId="0" applyNumberFormat="1" applyFont="1"/>
    <xf numFmtId="168" fontId="5" fillId="0" borderId="0" xfId="0" applyNumberFormat="1" applyFont="1"/>
    <xf numFmtId="0" fontId="7" fillId="0" borderId="0" xfId="0" applyFont="1"/>
    <xf numFmtId="0" fontId="5" fillId="0" borderId="0" xfId="0" applyFont="1"/>
    <xf numFmtId="0" fontId="4" fillId="3" borderId="0" xfId="0" applyFont="1" applyFill="1"/>
    <xf numFmtId="0" fontId="8" fillId="0" borderId="0" xfId="0" applyFont="1"/>
    <xf numFmtId="0" fontId="6" fillId="4" borderId="0" xfId="0" applyFont="1" applyFill="1"/>
    <xf numFmtId="0" fontId="0" fillId="4" borderId="0" xfId="0" applyFill="1"/>
    <xf numFmtId="167" fontId="7" fillId="0" borderId="0" xfId="0" applyNumberFormat="1" applyFont="1"/>
    <xf numFmtId="167" fontId="6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166" fontId="7" fillId="0" borderId="0" xfId="0" applyNumberFormat="1" applyFont="1"/>
    <xf numFmtId="167" fontId="9" fillId="0" borderId="0" xfId="0" applyNumberFormat="1" applyFont="1"/>
    <xf numFmtId="164" fontId="7" fillId="0" borderId="0" xfId="0" applyNumberFormat="1" applyFont="1"/>
    <xf numFmtId="169" fontId="7" fillId="0" borderId="0" xfId="0" applyNumberFormat="1" applyFont="1"/>
    <xf numFmtId="167" fontId="7" fillId="3" borderId="0" xfId="0" applyNumberFormat="1" applyFont="1" applyFill="1"/>
    <xf numFmtId="166" fontId="7" fillId="3" borderId="0" xfId="0" applyNumberFormat="1" applyFont="1" applyFill="1"/>
    <xf numFmtId="2" fontId="7" fillId="3" borderId="0" xfId="0" applyNumberFormat="1" applyFont="1" applyFill="1"/>
    <xf numFmtId="166" fontId="9" fillId="0" borderId="0" xfId="0" applyNumberFormat="1" applyFont="1"/>
    <xf numFmtId="170" fontId="4" fillId="0" borderId="0" xfId="0" applyNumberFormat="1" applyFont="1"/>
    <xf numFmtId="167" fontId="10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1" fontId="4" fillId="0" borderId="0" xfId="0" applyNumberFormat="1" applyFont="1"/>
    <xf numFmtId="171" fontId="4" fillId="0" borderId="0" xfId="0" applyNumberFormat="1" applyFont="1"/>
    <xf numFmtId="169" fontId="5" fillId="0" borderId="0" xfId="0" applyNumberFormat="1" applyFont="1"/>
    <xf numFmtId="165" fontId="4" fillId="0" borderId="0" xfId="0" applyNumberFormat="1" applyFont="1"/>
    <xf numFmtId="165" fontId="7" fillId="3" borderId="0" xfId="0" applyNumberFormat="1" applyFont="1" applyFill="1"/>
    <xf numFmtId="168" fontId="6" fillId="0" borderId="0" xfId="0" applyNumberFormat="1" applyFont="1"/>
    <xf numFmtId="0" fontId="11" fillId="0" borderId="0" xfId="0" applyFont="1"/>
    <xf numFmtId="0" fontId="12" fillId="0" borderId="0" xfId="0" applyFont="1"/>
    <xf numFmtId="166" fontId="13" fillId="5" borderId="0" xfId="0" applyNumberFormat="1" applyFont="1" applyFill="1"/>
    <xf numFmtId="166" fontId="14" fillId="0" borderId="0" xfId="0" applyNumberFormat="1" applyFont="1"/>
    <xf numFmtId="166" fontId="15" fillId="3" borderId="0" xfId="0" applyNumberFormat="1" applyFont="1" applyFill="1"/>
    <xf numFmtId="164" fontId="13" fillId="0" borderId="0" xfId="0" applyNumberFormat="1" applyFont="1"/>
  </cellXfs>
  <cellStyles count="1">
    <cellStyle name="Normal" xfId="0" builtinId="0"/>
  </cellStyles>
  <dxfs count="1"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zoomScaleNormal="100" workbookViewId="0">
      <selection activeCell="A45" sqref="A45"/>
    </sheetView>
  </sheetViews>
  <sheetFormatPr defaultColWidth="8.7109375" defaultRowHeight="15" x14ac:dyDescent="0.25"/>
  <cols>
    <col min="1" max="1" width="40" customWidth="1"/>
    <col min="2" max="2" width="20" customWidth="1"/>
    <col min="3" max="3" width="70" customWidth="1"/>
  </cols>
  <sheetData>
    <row r="1" spans="1:3" ht="20.25" x14ac:dyDescent="0.3">
      <c r="A1" s="1" t="s">
        <v>0</v>
      </c>
    </row>
    <row r="2" spans="1:3" x14ac:dyDescent="0.25">
      <c r="A2" s="2" t="s">
        <v>1</v>
      </c>
    </row>
    <row r="4" spans="1:3" x14ac:dyDescent="0.25">
      <c r="A4" s="3" t="s">
        <v>2</v>
      </c>
      <c r="B4" s="4" t="s">
        <v>3</v>
      </c>
      <c r="C4" s="4" t="s">
        <v>4</v>
      </c>
    </row>
    <row r="5" spans="1:3" x14ac:dyDescent="0.25">
      <c r="A5" s="5" t="s">
        <v>5</v>
      </c>
      <c r="B5" s="6">
        <f>Inputs!B6</f>
        <v>879</v>
      </c>
      <c r="C5" s="2" t="s">
        <v>311</v>
      </c>
    </row>
    <row r="6" spans="1:3" x14ac:dyDescent="0.25">
      <c r="A6" s="5" t="s">
        <v>6</v>
      </c>
      <c r="B6" s="7">
        <f>DCF!B22</f>
        <v>121.82223072412933</v>
      </c>
      <c r="C6" s="2" t="s">
        <v>7</v>
      </c>
    </row>
    <row r="7" spans="1:3" x14ac:dyDescent="0.25">
      <c r="A7" s="5" t="s">
        <v>8</v>
      </c>
      <c r="B7" s="7">
        <f>IF(Comps!B18="","Fill Comps sheet",Comps!B18)</f>
        <v>681.87028044519661</v>
      </c>
      <c r="C7" s="2" t="s">
        <v>9</v>
      </c>
    </row>
    <row r="8" spans="1:3" x14ac:dyDescent="0.25">
      <c r="A8" s="8" t="s">
        <v>10</v>
      </c>
      <c r="B8" s="9">
        <f>IF(Comps!B18="",DCF!B22,Inputs!B27*DCF!B22+Inputs!B28*Comps!B18)</f>
        <v>401.84625558466297</v>
      </c>
      <c r="C8" s="2" t="s">
        <v>11</v>
      </c>
    </row>
    <row r="9" spans="1:3" x14ac:dyDescent="0.25">
      <c r="A9" s="8" t="s">
        <v>12</v>
      </c>
      <c r="B9" s="10">
        <f>B8/B5-1</f>
        <v>-0.54283702436329584</v>
      </c>
      <c r="C9" s="2"/>
    </row>
    <row r="10" spans="1:3" x14ac:dyDescent="0.25">
      <c r="A10" s="8" t="s">
        <v>13</v>
      </c>
      <c r="B10" s="8" t="str">
        <f>IF(B9&gt;=Inputs!B29,"BUY",IF(B9&lt;=Inputs!B30,"SELL","HOLD"))</f>
        <v>SELL</v>
      </c>
      <c r="C10" s="2" t="s">
        <v>14</v>
      </c>
    </row>
    <row r="12" spans="1:3" x14ac:dyDescent="0.25">
      <c r="A12" s="5" t="s">
        <v>15</v>
      </c>
      <c r="B12" s="11">
        <f>Inputs!B8</f>
        <v>138486.45000000001</v>
      </c>
      <c r="C12" s="2"/>
    </row>
    <row r="13" spans="1:3" x14ac:dyDescent="0.25">
      <c r="A13" s="5" t="s">
        <v>16</v>
      </c>
      <c r="B13" s="12">
        <f>Inputs!B6/Historicals!F19</f>
        <v>114.75195822454307</v>
      </c>
      <c r="C13" s="2"/>
    </row>
    <row r="14" spans="1:3" x14ac:dyDescent="0.25">
      <c r="A14" s="5" t="s">
        <v>17</v>
      </c>
      <c r="B14" s="12">
        <f>Inputs!B12/Historicals!F8</f>
        <v>81.818068251066435</v>
      </c>
      <c r="C14" s="2"/>
    </row>
    <row r="15" spans="1:3" x14ac:dyDescent="0.25">
      <c r="A15" s="5" t="s">
        <v>18</v>
      </c>
      <c r="B15" s="11">
        <f>Historicals!F6</f>
        <v>12418</v>
      </c>
      <c r="C15" s="2" t="s">
        <v>19</v>
      </c>
    </row>
    <row r="16" spans="1:3" x14ac:dyDescent="0.25">
      <c r="A16" s="5" t="s">
        <v>20</v>
      </c>
      <c r="B16" s="13">
        <f>Historicals!F9</f>
        <v>0.13214688355612819</v>
      </c>
      <c r="C16" s="2"/>
    </row>
    <row r="17" spans="1:3" x14ac:dyDescent="0.25">
      <c r="A17" s="5" t="s">
        <v>21</v>
      </c>
      <c r="B17" s="14">
        <f>Historicals!F61</f>
        <v>1.3775970365598325</v>
      </c>
      <c r="C17" s="2" t="s">
        <v>22</v>
      </c>
    </row>
    <row r="18" spans="1:3" x14ac:dyDescent="0.25">
      <c r="A18" s="5" t="s">
        <v>23</v>
      </c>
      <c r="B18" s="13">
        <f>DCF!B25</f>
        <v>0.52960732002976618</v>
      </c>
      <c r="C18" s="2" t="s">
        <v>24</v>
      </c>
    </row>
    <row r="19" spans="1:3" x14ac:dyDescent="0.25">
      <c r="A19" t="s">
        <v>353</v>
      </c>
      <c r="B19" s="48">
        <v>934</v>
      </c>
      <c r="C19" t="s">
        <v>354</v>
      </c>
    </row>
    <row r="20" spans="1:3" x14ac:dyDescent="0.25">
      <c r="A20" s="8" t="s">
        <v>25</v>
      </c>
    </row>
    <row r="21" spans="1:3" x14ac:dyDescent="0.25">
      <c r="A21" s="15" t="s">
        <v>26</v>
      </c>
      <c r="B21" s="5" t="s">
        <v>27</v>
      </c>
    </row>
    <row r="22" spans="1:3" x14ac:dyDescent="0.25">
      <c r="A22" s="5" t="s">
        <v>28</v>
      </c>
      <c r="B22" s="5" t="s">
        <v>29</v>
      </c>
    </row>
    <row r="23" spans="1:3" x14ac:dyDescent="0.25">
      <c r="A23" s="16" t="s">
        <v>30</v>
      </c>
      <c r="B23" s="5" t="s">
        <v>31</v>
      </c>
    </row>
    <row r="24" spans="1:3" x14ac:dyDescent="0.25">
      <c r="A24" s="17" t="s">
        <v>32</v>
      </c>
      <c r="B24" s="5" t="s">
        <v>33</v>
      </c>
    </row>
    <row r="26" spans="1:3" x14ac:dyDescent="0.25">
      <c r="A26" s="8" t="s">
        <v>312</v>
      </c>
    </row>
    <row r="27" spans="1:3" x14ac:dyDescent="0.25">
      <c r="A27" s="5" t="s">
        <v>313</v>
      </c>
    </row>
    <row r="28" spans="1:3" x14ac:dyDescent="0.25">
      <c r="A28" s="5" t="s">
        <v>314</v>
      </c>
    </row>
    <row r="29" spans="1:3" x14ac:dyDescent="0.25">
      <c r="A29" s="5" t="s">
        <v>355</v>
      </c>
    </row>
    <row r="30" spans="1:3" x14ac:dyDescent="0.25">
      <c r="A30" s="5" t="s">
        <v>315</v>
      </c>
    </row>
    <row r="31" spans="1:3" x14ac:dyDescent="0.25">
      <c r="A31" s="5" t="s">
        <v>356</v>
      </c>
    </row>
    <row r="32" spans="1:3" x14ac:dyDescent="0.25">
      <c r="A32" s="5" t="s">
        <v>325</v>
      </c>
    </row>
    <row r="34" spans="1:1" x14ac:dyDescent="0.25">
      <c r="A34" s="8" t="s">
        <v>34</v>
      </c>
    </row>
    <row r="35" spans="1:1" x14ac:dyDescent="0.25">
      <c r="A35" s="2" t="s">
        <v>35</v>
      </c>
    </row>
    <row r="36" spans="1:1" x14ac:dyDescent="0.25">
      <c r="A36" s="2" t="s">
        <v>36</v>
      </c>
    </row>
    <row r="37" spans="1:1" x14ac:dyDescent="0.25">
      <c r="A37" s="2" t="s">
        <v>37</v>
      </c>
    </row>
    <row r="38" spans="1:1" x14ac:dyDescent="0.25">
      <c r="A38" s="2" t="s">
        <v>38</v>
      </c>
    </row>
    <row r="39" spans="1:1" x14ac:dyDescent="0.25">
      <c r="A39" s="2" t="s">
        <v>39</v>
      </c>
    </row>
    <row r="40" spans="1:1" x14ac:dyDescent="0.25">
      <c r="A40" s="2" t="s">
        <v>316</v>
      </c>
    </row>
    <row r="41" spans="1:1" x14ac:dyDescent="0.25">
      <c r="A41" s="2" t="s">
        <v>317</v>
      </c>
    </row>
    <row r="42" spans="1:1" x14ac:dyDescent="0.25">
      <c r="A42" s="2" t="s">
        <v>318</v>
      </c>
    </row>
    <row r="43" spans="1:1" x14ac:dyDescent="0.25">
      <c r="A43" s="2" t="s">
        <v>357</v>
      </c>
    </row>
    <row r="44" spans="1:1" x14ac:dyDescent="0.25">
      <c r="A44" s="2" t="s">
        <v>358</v>
      </c>
    </row>
    <row r="45" spans="1:1" x14ac:dyDescent="0.25">
      <c r="A45" s="2" t="s">
        <v>359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zoomScaleNormal="100" workbookViewId="0">
      <pane xSplit="1" ySplit="4" topLeftCell="B44" activePane="bottomRight" state="frozen"/>
      <selection pane="topRight" activeCell="B1" sqref="B1"/>
      <selection pane="bottomLeft" activeCell="A5" sqref="A5"/>
      <selection pane="bottomRight" activeCell="A66" sqref="A66:G66"/>
    </sheetView>
  </sheetViews>
  <sheetFormatPr defaultColWidth="8.7109375" defaultRowHeight="15" x14ac:dyDescent="0.25"/>
  <cols>
    <col min="1" max="1" width="44" customWidth="1"/>
    <col min="2" max="6" width="11" customWidth="1"/>
    <col min="7" max="7" width="90" customWidth="1"/>
  </cols>
  <sheetData>
    <row r="1" spans="1:7" ht="18" x14ac:dyDescent="0.25">
      <c r="A1" s="18" t="s">
        <v>40</v>
      </c>
    </row>
    <row r="2" spans="1:7" x14ac:dyDescent="0.25">
      <c r="A2" s="2" t="s">
        <v>41</v>
      </c>
    </row>
    <row r="4" spans="1:7" x14ac:dyDescent="0.25">
      <c r="A4" s="3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</row>
    <row r="5" spans="1:7" x14ac:dyDescent="0.25">
      <c r="A5" s="19" t="s">
        <v>49</v>
      </c>
      <c r="B5" s="20"/>
      <c r="C5" s="20"/>
      <c r="D5" s="20"/>
      <c r="E5" s="20"/>
      <c r="F5" s="20"/>
      <c r="G5" s="20"/>
    </row>
    <row r="6" spans="1:7" x14ac:dyDescent="0.25">
      <c r="A6" s="5" t="s">
        <v>50</v>
      </c>
      <c r="B6" s="21">
        <v>5484</v>
      </c>
      <c r="C6" s="21">
        <v>6973</v>
      </c>
      <c r="D6" s="21">
        <v>8046</v>
      </c>
      <c r="E6" s="21">
        <v>9909</v>
      </c>
      <c r="F6" s="21">
        <v>12418</v>
      </c>
    </row>
    <row r="7" spans="1:7" x14ac:dyDescent="0.25">
      <c r="A7" s="5" t="s">
        <v>51</v>
      </c>
      <c r="B7" s="21">
        <v>4837</v>
      </c>
      <c r="C7" s="21">
        <v>5967</v>
      </c>
      <c r="D7" s="21">
        <v>6904</v>
      </c>
      <c r="E7" s="21">
        <v>8589</v>
      </c>
      <c r="F7" s="21">
        <v>10777</v>
      </c>
    </row>
    <row r="8" spans="1:7" x14ac:dyDescent="0.25">
      <c r="A8" s="8" t="s">
        <v>52</v>
      </c>
      <c r="B8" s="22">
        <f>B6-B7</f>
        <v>647</v>
      </c>
      <c r="C8" s="22">
        <f>C6-C7</f>
        <v>1006</v>
      </c>
      <c r="D8" s="22">
        <f>D6-D7</f>
        <v>1142</v>
      </c>
      <c r="E8" s="22">
        <f>E6-E7</f>
        <v>1320</v>
      </c>
      <c r="F8" s="22">
        <f>F6-F7</f>
        <v>1641</v>
      </c>
      <c r="G8" s="2" t="s">
        <v>53</v>
      </c>
    </row>
    <row r="9" spans="1:7" x14ac:dyDescent="0.25">
      <c r="A9" s="5" t="s">
        <v>54</v>
      </c>
      <c r="B9" s="23">
        <f>IF(B6=0,0,B8/B6)</f>
        <v>0.11797957695113057</v>
      </c>
      <c r="C9" s="23">
        <f>IF(C6=0,0,C8/C6)</f>
        <v>0.1442707586404704</v>
      </c>
      <c r="D9" s="23">
        <f>IF(D6=0,0,D8/D6)</f>
        <v>0.14193388018891376</v>
      </c>
      <c r="E9" s="23">
        <f>IF(E6=0,0,E8/E6)</f>
        <v>0.13321223130487436</v>
      </c>
      <c r="F9" s="23">
        <f>IF(F6=0,0,F8/F6)</f>
        <v>0.13214688355612819</v>
      </c>
    </row>
    <row r="10" spans="1:7" x14ac:dyDescent="0.25">
      <c r="A10" s="5" t="s">
        <v>55</v>
      </c>
      <c r="C10" s="23">
        <f>C6/B6-1</f>
        <v>0.27151714077315825</v>
      </c>
      <c r="D10" s="23">
        <f>D6/C6-1</f>
        <v>0.15387924853004442</v>
      </c>
      <c r="E10" s="23">
        <f>E6/D6-1</f>
        <v>0.23154362416107377</v>
      </c>
      <c r="F10" s="23">
        <f>F6/E6-1</f>
        <v>0.25320415783631045</v>
      </c>
      <c r="G10" s="2" t="s">
        <v>56</v>
      </c>
    </row>
    <row r="11" spans="1:7" x14ac:dyDescent="0.25">
      <c r="A11" s="5" t="s">
        <v>57</v>
      </c>
      <c r="B11" s="21">
        <v>569</v>
      </c>
      <c r="C11" s="21">
        <v>286</v>
      </c>
      <c r="D11" s="21">
        <v>684</v>
      </c>
      <c r="E11" s="21">
        <v>162</v>
      </c>
      <c r="F11" s="21">
        <v>208</v>
      </c>
      <c r="G11" s="2" t="s">
        <v>58</v>
      </c>
    </row>
    <row r="12" spans="1:7" x14ac:dyDescent="0.25">
      <c r="A12" s="5" t="s">
        <v>59</v>
      </c>
      <c r="B12" s="21">
        <v>82</v>
      </c>
      <c r="C12" s="21">
        <v>28</v>
      </c>
      <c r="D12" s="21">
        <v>17</v>
      </c>
      <c r="E12" s="21">
        <v>21</v>
      </c>
      <c r="F12" s="21">
        <v>25</v>
      </c>
    </row>
    <row r="13" spans="1:7" x14ac:dyDescent="0.25">
      <c r="A13" s="5" t="s">
        <v>60</v>
      </c>
      <c r="B13" s="21">
        <v>99</v>
      </c>
      <c r="C13" s="21">
        <v>94</v>
      </c>
      <c r="D13" s="21">
        <v>95</v>
      </c>
      <c r="E13" s="21">
        <v>112</v>
      </c>
      <c r="F13" s="21">
        <v>196</v>
      </c>
      <c r="G13" s="2" t="s">
        <v>61</v>
      </c>
    </row>
    <row r="14" spans="1:7" x14ac:dyDescent="0.25">
      <c r="A14" s="8" t="s">
        <v>62</v>
      </c>
      <c r="B14" s="22">
        <f>B8+B11-B12-B13</f>
        <v>1035</v>
      </c>
      <c r="C14" s="22">
        <f>C8+C11-C12-C13</f>
        <v>1170</v>
      </c>
      <c r="D14" s="22">
        <f>D8+D11-D12-D13</f>
        <v>1714</v>
      </c>
      <c r="E14" s="22">
        <f>E8+E11-E12-E13</f>
        <v>1349</v>
      </c>
      <c r="F14" s="22">
        <f>F8+F11-F12-F13</f>
        <v>1628</v>
      </c>
    </row>
    <row r="15" spans="1:7" x14ac:dyDescent="0.25">
      <c r="A15" s="5" t="s">
        <v>63</v>
      </c>
      <c r="B15" s="21">
        <v>1035</v>
      </c>
      <c r="C15" s="21">
        <v>1169</v>
      </c>
      <c r="D15" s="21">
        <v>1715</v>
      </c>
      <c r="E15" s="21">
        <v>1348</v>
      </c>
      <c r="F15" s="21">
        <v>1628</v>
      </c>
      <c r="G15" s="2" t="s">
        <v>64</v>
      </c>
    </row>
    <row r="16" spans="1:7" x14ac:dyDescent="0.25">
      <c r="A16" s="5" t="s">
        <v>65</v>
      </c>
      <c r="B16" s="24">
        <f>B14-B15</f>
        <v>0</v>
      </c>
      <c r="C16" s="24">
        <f>C14-C15</f>
        <v>1</v>
      </c>
      <c r="D16" s="24">
        <f>D14-D15</f>
        <v>-1</v>
      </c>
      <c r="E16" s="24">
        <f>E14-E15</f>
        <v>1</v>
      </c>
      <c r="F16" s="24">
        <f>F14-F15</f>
        <v>0</v>
      </c>
      <c r="G16" s="2" t="s">
        <v>66</v>
      </c>
    </row>
    <row r="17" spans="1:7" x14ac:dyDescent="0.25">
      <c r="A17" s="5" t="s">
        <v>67</v>
      </c>
      <c r="B17" s="25">
        <v>0.12</v>
      </c>
      <c r="C17" s="25">
        <v>0.18</v>
      </c>
      <c r="D17" s="25">
        <v>0.17</v>
      </c>
      <c r="E17" s="25">
        <v>0.28000000000000003</v>
      </c>
      <c r="F17" s="25">
        <v>0.26</v>
      </c>
      <c r="G17" s="2" t="s">
        <v>68</v>
      </c>
    </row>
    <row r="18" spans="1:7" x14ac:dyDescent="0.25">
      <c r="A18" s="8" t="s">
        <v>69</v>
      </c>
      <c r="B18" s="26">
        <v>913</v>
      </c>
      <c r="C18" s="26">
        <v>963</v>
      </c>
      <c r="D18" s="26">
        <v>1428</v>
      </c>
      <c r="E18" s="26">
        <v>973</v>
      </c>
      <c r="F18" s="26">
        <v>1199</v>
      </c>
    </row>
    <row r="19" spans="1:7" x14ac:dyDescent="0.25">
      <c r="A19" s="5" t="s">
        <v>70</v>
      </c>
      <c r="B19" s="27">
        <v>6.33</v>
      </c>
      <c r="C19" s="27">
        <v>6.3</v>
      </c>
      <c r="D19" s="27">
        <v>9.34</v>
      </c>
      <c r="E19" s="27">
        <v>6.37</v>
      </c>
      <c r="F19" s="27">
        <v>7.66</v>
      </c>
      <c r="G19" t="s">
        <v>298</v>
      </c>
    </row>
    <row r="20" spans="1:7" x14ac:dyDescent="0.25">
      <c r="A20" s="5" t="s">
        <v>71</v>
      </c>
      <c r="B20" s="23">
        <f>IF(B6=0,0,B18/B6)</f>
        <v>0.16648431801604668</v>
      </c>
      <c r="C20" s="23">
        <f>IF(C6=0,0,C18/C6)</f>
        <v>0.13810411587551985</v>
      </c>
      <c r="D20" s="23">
        <f>IF(D6=0,0,D18/D6)</f>
        <v>0.17747949291573453</v>
      </c>
      <c r="E20" s="23">
        <f>IF(E6=0,0,E18/E6)</f>
        <v>9.8193561408820268E-2</v>
      </c>
      <c r="F20" s="23">
        <f>IF(F6=0,0,F18/F6)</f>
        <v>9.6553390239974238E-2</v>
      </c>
    </row>
    <row r="21" spans="1:7" x14ac:dyDescent="0.25">
      <c r="A21" s="5" t="s">
        <v>72</v>
      </c>
      <c r="B21" s="23">
        <f>IF(B6=0,0,B13/B6)</f>
        <v>1.8052516411378557E-2</v>
      </c>
      <c r="C21" s="23">
        <f>IF(C6=0,0,C13/C6)</f>
        <v>1.3480567904775562E-2</v>
      </c>
      <c r="D21" s="23">
        <f>IF(D6=0,0,D13/D6)</f>
        <v>1.1807109122545364E-2</v>
      </c>
      <c r="E21" s="23">
        <f>IF(E6=0,0,E13/E6)</f>
        <v>1.1302855989504491E-2</v>
      </c>
      <c r="F21" s="23">
        <f>IF(F6=0,0,F13/F6)</f>
        <v>1.5783540022547914E-2</v>
      </c>
    </row>
    <row r="23" spans="1:7" x14ac:dyDescent="0.25">
      <c r="A23" s="19" t="s">
        <v>73</v>
      </c>
      <c r="B23" s="20"/>
      <c r="C23" s="20"/>
      <c r="D23" s="20"/>
      <c r="E23" s="20"/>
      <c r="F23" s="20"/>
      <c r="G23" s="20"/>
    </row>
    <row r="24" spans="1:7" x14ac:dyDescent="0.25">
      <c r="A24" s="5" t="s">
        <v>74</v>
      </c>
      <c r="B24" s="21">
        <v>288</v>
      </c>
      <c r="C24" s="21">
        <v>305</v>
      </c>
      <c r="D24" s="21">
        <v>305</v>
      </c>
      <c r="E24" s="21">
        <v>306</v>
      </c>
      <c r="F24" s="21">
        <v>315</v>
      </c>
      <c r="G24" s="2" t="s">
        <v>75</v>
      </c>
    </row>
    <row r="25" spans="1:7" x14ac:dyDescent="0.25">
      <c r="A25" s="5" t="s">
        <v>76</v>
      </c>
      <c r="B25" s="21">
        <v>715</v>
      </c>
      <c r="C25" s="21">
        <v>1485</v>
      </c>
      <c r="D25" s="21">
        <v>2712</v>
      </c>
      <c r="E25" s="21">
        <v>3538</v>
      </c>
      <c r="F25" s="21">
        <v>7655</v>
      </c>
      <c r="G25" s="2" t="s">
        <v>77</v>
      </c>
    </row>
    <row r="26" spans="1:7" x14ac:dyDescent="0.25">
      <c r="A26" s="8" t="s">
        <v>78</v>
      </c>
      <c r="B26" s="22">
        <f>B24+B25</f>
        <v>1003</v>
      </c>
      <c r="C26" s="22">
        <f>C24+C25</f>
        <v>1790</v>
      </c>
      <c r="D26" s="22">
        <f>D24+D25</f>
        <v>3017</v>
      </c>
      <c r="E26" s="22">
        <f>E24+E25</f>
        <v>3844</v>
      </c>
      <c r="F26" s="22">
        <f>F24+F25</f>
        <v>7970</v>
      </c>
    </row>
    <row r="27" spans="1:7" x14ac:dyDescent="0.25">
      <c r="A27" s="5" t="s">
        <v>79</v>
      </c>
      <c r="B27" s="21">
        <v>367</v>
      </c>
      <c r="C27" s="21">
        <v>16</v>
      </c>
      <c r="D27" s="21">
        <v>17</v>
      </c>
      <c r="E27" s="21">
        <v>41</v>
      </c>
      <c r="F27" s="21">
        <v>118</v>
      </c>
      <c r="G27" s="2" t="s">
        <v>80</v>
      </c>
    </row>
    <row r="28" spans="1:7" x14ac:dyDescent="0.25">
      <c r="A28" s="5" t="s">
        <v>81</v>
      </c>
      <c r="B28" s="21">
        <v>2852</v>
      </c>
      <c r="C28" s="21">
        <v>2861</v>
      </c>
      <c r="D28" s="21">
        <v>2590</v>
      </c>
      <c r="E28" s="21">
        <v>3528</v>
      </c>
      <c r="F28" s="21">
        <v>4555</v>
      </c>
    </row>
    <row r="29" spans="1:7" x14ac:dyDescent="0.25">
      <c r="A29" s="8" t="s">
        <v>82</v>
      </c>
      <c r="B29" s="22">
        <f>B26+B27+B28</f>
        <v>4222</v>
      </c>
      <c r="C29" s="22">
        <f>C26+C27+C28</f>
        <v>4667</v>
      </c>
      <c r="D29" s="22">
        <f>D26+D27+D28</f>
        <v>5624</v>
      </c>
      <c r="E29" s="22">
        <f>E26+E27+E28</f>
        <v>7413</v>
      </c>
      <c r="F29" s="22">
        <f>F26+F27+F28</f>
        <v>12643</v>
      </c>
    </row>
    <row r="30" spans="1:7" x14ac:dyDescent="0.25">
      <c r="A30" s="5" t="s">
        <v>83</v>
      </c>
      <c r="B30" s="21">
        <v>1081</v>
      </c>
      <c r="C30" s="21">
        <v>971</v>
      </c>
      <c r="D30" s="21">
        <v>1059</v>
      </c>
      <c r="E30" s="21">
        <v>1479</v>
      </c>
      <c r="F30" s="21">
        <v>2008</v>
      </c>
    </row>
    <row r="31" spans="1:7" x14ac:dyDescent="0.25">
      <c r="A31" s="5" t="s">
        <v>84</v>
      </c>
      <c r="B31" s="21">
        <v>35</v>
      </c>
      <c r="C31" s="21">
        <v>38</v>
      </c>
      <c r="D31" s="21">
        <v>94</v>
      </c>
      <c r="E31" s="21">
        <v>386</v>
      </c>
      <c r="F31" s="21">
        <v>725</v>
      </c>
      <c r="G31" s="2" t="s">
        <v>85</v>
      </c>
    </row>
    <row r="32" spans="1:7" x14ac:dyDescent="0.25">
      <c r="A32" s="5" t="s">
        <v>86</v>
      </c>
      <c r="B32" s="21">
        <v>41</v>
      </c>
      <c r="C32" s="21">
        <v>1</v>
      </c>
      <c r="D32" s="21">
        <v>588</v>
      </c>
      <c r="E32" s="21">
        <v>438</v>
      </c>
      <c r="F32" s="21">
        <v>453</v>
      </c>
    </row>
    <row r="33" spans="1:7" x14ac:dyDescent="0.25">
      <c r="A33" s="5" t="s">
        <v>87</v>
      </c>
      <c r="B33" s="21">
        <v>3064</v>
      </c>
      <c r="C33" s="21">
        <v>3658</v>
      </c>
      <c r="D33" s="21">
        <v>3884</v>
      </c>
      <c r="E33" s="21">
        <v>5110</v>
      </c>
      <c r="F33" s="21">
        <v>9458</v>
      </c>
      <c r="G33" s="2" t="s">
        <v>88</v>
      </c>
    </row>
    <row r="34" spans="1:7" x14ac:dyDescent="0.25">
      <c r="A34" s="8" t="s">
        <v>89</v>
      </c>
      <c r="B34" s="22">
        <f>B30+B31+B32+B33</f>
        <v>4221</v>
      </c>
      <c r="C34" s="22">
        <f>C30+C31+C32+C33</f>
        <v>4668</v>
      </c>
      <c r="D34" s="22">
        <f>D30+D31+D32+D33</f>
        <v>5625</v>
      </c>
      <c r="E34" s="22">
        <f>E30+E31+E32+E33</f>
        <v>7413</v>
      </c>
      <c r="F34" s="22">
        <f>F30+F31+F32+F33</f>
        <v>12644</v>
      </c>
    </row>
    <row r="35" spans="1:7" x14ac:dyDescent="0.25">
      <c r="A35" s="5" t="s">
        <v>90</v>
      </c>
      <c r="B35" s="24">
        <f>B29-B34</f>
        <v>1</v>
      </c>
      <c r="C35" s="24">
        <f>C29-C34</f>
        <v>-1</v>
      </c>
      <c r="D35" s="24">
        <f>D29-D34</f>
        <v>-1</v>
      </c>
      <c r="E35" s="24">
        <f>E29-E34</f>
        <v>0</v>
      </c>
      <c r="F35" s="24">
        <f>F29-F34</f>
        <v>-1</v>
      </c>
      <c r="G35" s="2" t="s">
        <v>91</v>
      </c>
    </row>
    <row r="36" spans="1:7" x14ac:dyDescent="0.25">
      <c r="A36" s="5" t="s">
        <v>92</v>
      </c>
      <c r="B36" s="23">
        <f>IF(B26=0,0,B18/B26)</f>
        <v>0.91026919242273185</v>
      </c>
      <c r="C36" s="23">
        <f>IF(C26=0,0,C18/C26)</f>
        <v>0.53798882681564242</v>
      </c>
      <c r="D36" s="23">
        <f>IF(D26=0,0,D18/D26)</f>
        <v>0.47331786542923432</v>
      </c>
      <c r="E36" s="23">
        <f>IF(E26=0,0,E18/E26)</f>
        <v>0.25312174817898025</v>
      </c>
      <c r="F36" s="23">
        <f>IF(F26=0,0,F18/F26)</f>
        <v>0.15043914680050188</v>
      </c>
      <c r="G36" s="2" t="s">
        <v>93</v>
      </c>
    </row>
    <row r="38" spans="1:7" x14ac:dyDescent="0.25">
      <c r="A38" s="19" t="s">
        <v>94</v>
      </c>
      <c r="B38" s="20"/>
      <c r="C38" s="20"/>
      <c r="D38" s="20"/>
      <c r="E38" s="20"/>
      <c r="F38" s="20"/>
      <c r="G38" s="20"/>
    </row>
    <row r="39" spans="1:7" x14ac:dyDescent="0.25">
      <c r="A39" s="5" t="s">
        <v>95</v>
      </c>
      <c r="B39" s="21">
        <v>483</v>
      </c>
      <c r="C39" s="21">
        <v>947</v>
      </c>
      <c r="D39" s="21">
        <v>1028</v>
      </c>
      <c r="E39" s="21">
        <v>916</v>
      </c>
      <c r="F39" s="21">
        <v>702</v>
      </c>
    </row>
    <row r="40" spans="1:7" x14ac:dyDescent="0.25">
      <c r="A40" s="5" t="s">
        <v>96</v>
      </c>
      <c r="B40" s="21">
        <v>227</v>
      </c>
      <c r="C40" s="21">
        <v>-21</v>
      </c>
      <c r="D40" s="21">
        <v>-1294</v>
      </c>
      <c r="E40" s="21">
        <v>-540</v>
      </c>
      <c r="F40" s="21">
        <v>-3605</v>
      </c>
      <c r="G40" s="2" t="s">
        <v>97</v>
      </c>
    </row>
    <row r="41" spans="1:7" x14ac:dyDescent="0.25">
      <c r="A41" s="5" t="s">
        <v>98</v>
      </c>
      <c r="B41" s="21">
        <v>-800</v>
      </c>
      <c r="C41" s="21">
        <v>-612</v>
      </c>
      <c r="D41" s="21">
        <v>-246</v>
      </c>
      <c r="E41" s="21">
        <v>-167</v>
      </c>
      <c r="F41" s="21">
        <v>2794</v>
      </c>
      <c r="G41" s="2" t="s">
        <v>99</v>
      </c>
    </row>
    <row r="42" spans="1:7" x14ac:dyDescent="0.25">
      <c r="A42" s="5" t="s">
        <v>100</v>
      </c>
      <c r="B42" s="21">
        <v>413</v>
      </c>
      <c r="C42" s="21">
        <v>865</v>
      </c>
      <c r="D42" s="21">
        <v>805</v>
      </c>
      <c r="E42" s="21">
        <v>491</v>
      </c>
      <c r="F42" s="21">
        <v>-72</v>
      </c>
      <c r="G42" s="2" t="s">
        <v>101</v>
      </c>
    </row>
    <row r="43" spans="1:7" x14ac:dyDescent="0.25">
      <c r="A43" s="5" t="s">
        <v>102</v>
      </c>
      <c r="B43" s="24">
        <f>B39-B42</f>
        <v>70</v>
      </c>
      <c r="C43" s="24">
        <f>C39-C42</f>
        <v>82</v>
      </c>
      <c r="D43" s="24">
        <f>D39-D42</f>
        <v>223</v>
      </c>
      <c r="E43" s="24">
        <f>E39-E42</f>
        <v>425</v>
      </c>
      <c r="F43" s="24">
        <f>F39-F42</f>
        <v>774</v>
      </c>
    </row>
    <row r="44" spans="1:7" x14ac:dyDescent="0.25">
      <c r="A44" s="5" t="s">
        <v>103</v>
      </c>
      <c r="B44" s="23">
        <f>IF(B6=0,0,B43/B6)</f>
        <v>1.2764405543398978E-2</v>
      </c>
      <c r="C44" s="23">
        <f>IF(C6=0,0,C43/C6)</f>
        <v>1.175964434246379E-2</v>
      </c>
      <c r="D44" s="23">
        <f>IF(D6=0,0,D43/D6)</f>
        <v>2.7715635098185434E-2</v>
      </c>
      <c r="E44" s="23">
        <f>IF(E6=0,0,E43/E6)</f>
        <v>4.289030174588758E-2</v>
      </c>
      <c r="F44" s="23">
        <f>IF(F6=0,0,F43/F6)</f>
        <v>6.2328877435980028E-2</v>
      </c>
    </row>
    <row r="45" spans="1:7" x14ac:dyDescent="0.25">
      <c r="A45" s="5" t="s">
        <v>104</v>
      </c>
      <c r="B45" s="23">
        <f>IF(B8=0,0,B39/B8)</f>
        <v>0.74652241112828444</v>
      </c>
      <c r="C45" s="23">
        <f>IF(C8=0,0,C39/C8)</f>
        <v>0.94135188866799202</v>
      </c>
      <c r="D45" s="23">
        <f>IF(D8=0,0,D39/D8)</f>
        <v>0.90017513134851135</v>
      </c>
      <c r="E45" s="23">
        <f>IF(E8=0,0,E39/E8)</f>
        <v>0.69393939393939397</v>
      </c>
      <c r="F45" s="23">
        <f>IF(F8=0,0,F39/F8)</f>
        <v>0.42778793418647165</v>
      </c>
      <c r="G45" s="2" t="s">
        <v>105</v>
      </c>
    </row>
    <row r="47" spans="1:7" x14ac:dyDescent="0.25">
      <c r="A47" s="19" t="s">
        <v>106</v>
      </c>
      <c r="B47" s="20"/>
      <c r="C47" s="20"/>
      <c r="D47" s="20"/>
      <c r="E47" s="20"/>
      <c r="F47" s="20"/>
      <c r="G47" s="20"/>
    </row>
    <row r="48" spans="1:7" x14ac:dyDescent="0.25">
      <c r="A48" s="5" t="s">
        <v>107</v>
      </c>
      <c r="B48" s="21">
        <v>63</v>
      </c>
      <c r="C48" s="21">
        <v>68</v>
      </c>
      <c r="D48" s="21">
        <v>70</v>
      </c>
      <c r="E48" s="21">
        <v>74</v>
      </c>
      <c r="F48" s="21">
        <v>86</v>
      </c>
      <c r="G48" s="2" t="s">
        <v>108</v>
      </c>
    </row>
    <row r="49" spans="1:7" x14ac:dyDescent="0.25">
      <c r="A49" s="5" t="s">
        <v>109</v>
      </c>
      <c r="B49" s="21">
        <v>48</v>
      </c>
      <c r="C49" s="21">
        <v>41</v>
      </c>
      <c r="D49" s="21">
        <v>49</v>
      </c>
      <c r="E49" s="21">
        <v>60</v>
      </c>
      <c r="F49" s="21">
        <v>67</v>
      </c>
    </row>
    <row r="50" spans="1:7" x14ac:dyDescent="0.25">
      <c r="A50" s="5" t="s">
        <v>110</v>
      </c>
      <c r="B50" s="21">
        <v>107</v>
      </c>
      <c r="C50" s="21">
        <v>94</v>
      </c>
      <c r="D50" s="21">
        <v>98</v>
      </c>
      <c r="E50" s="21">
        <v>99</v>
      </c>
      <c r="F50" s="21">
        <v>105</v>
      </c>
    </row>
    <row r="51" spans="1:7" x14ac:dyDescent="0.25">
      <c r="A51" s="5" t="s">
        <v>111</v>
      </c>
      <c r="B51" s="21">
        <v>3</v>
      </c>
      <c r="C51" s="21">
        <v>15</v>
      </c>
      <c r="D51" s="21">
        <v>21</v>
      </c>
      <c r="E51" s="21">
        <v>35</v>
      </c>
      <c r="F51" s="21">
        <v>48</v>
      </c>
    </row>
    <row r="52" spans="1:7" x14ac:dyDescent="0.25">
      <c r="A52" s="5" t="s">
        <v>112</v>
      </c>
      <c r="B52" s="21">
        <v>-62</v>
      </c>
      <c r="C52" s="21">
        <v>4</v>
      </c>
      <c r="D52" s="21">
        <v>8</v>
      </c>
      <c r="E52" s="21">
        <v>16</v>
      </c>
      <c r="F52" s="21">
        <v>70</v>
      </c>
      <c r="G52" s="2" t="s">
        <v>326</v>
      </c>
    </row>
    <row r="53" spans="1:7" x14ac:dyDescent="0.25">
      <c r="A53" s="5" t="s">
        <v>113</v>
      </c>
      <c r="B53" s="25">
        <v>0.42</v>
      </c>
      <c r="C53" s="25">
        <v>0.61</v>
      </c>
      <c r="D53" s="25">
        <v>0.47</v>
      </c>
      <c r="E53" s="25">
        <v>0.37</v>
      </c>
      <c r="F53" s="25">
        <v>0.27</v>
      </c>
      <c r="G53" s="2" t="s">
        <v>114</v>
      </c>
    </row>
    <row r="55" spans="1:7" x14ac:dyDescent="0.25">
      <c r="A55" s="19" t="s">
        <v>115</v>
      </c>
      <c r="B55" s="20"/>
      <c r="C55" s="20"/>
      <c r="D55" s="20"/>
      <c r="E55" s="20"/>
      <c r="F55" s="20"/>
      <c r="G55" s="20"/>
    </row>
    <row r="56" spans="1:7" x14ac:dyDescent="0.25">
      <c r="A56" s="5" t="s">
        <v>116</v>
      </c>
      <c r="F56" s="21">
        <v>5138</v>
      </c>
      <c r="G56" s="2" t="s">
        <v>117</v>
      </c>
    </row>
    <row r="57" spans="1:7" x14ac:dyDescent="0.25">
      <c r="A57" s="5" t="s">
        <v>118</v>
      </c>
      <c r="F57" s="21">
        <v>6747</v>
      </c>
      <c r="G57" s="2" t="s">
        <v>119</v>
      </c>
    </row>
    <row r="58" spans="1:7" x14ac:dyDescent="0.25">
      <c r="A58" s="5" t="s">
        <v>120</v>
      </c>
      <c r="F58" s="21">
        <v>503</v>
      </c>
      <c r="G58" s="2" t="s">
        <v>121</v>
      </c>
    </row>
    <row r="59" spans="1:7" x14ac:dyDescent="0.25">
      <c r="A59" s="5" t="s">
        <v>122</v>
      </c>
      <c r="F59" s="24">
        <f>F6-F56-F57-F58</f>
        <v>30</v>
      </c>
      <c r="G59" s="2" t="s">
        <v>123</v>
      </c>
    </row>
    <row r="60" spans="1:7" x14ac:dyDescent="0.25">
      <c r="A60" s="5" t="s">
        <v>124</v>
      </c>
      <c r="F60" s="21">
        <v>17107</v>
      </c>
      <c r="G60" s="2" t="s">
        <v>125</v>
      </c>
    </row>
    <row r="61" spans="1:7" x14ac:dyDescent="0.25">
      <c r="A61" s="5" t="s">
        <v>126</v>
      </c>
      <c r="F61" s="12">
        <f>F60/F6</f>
        <v>1.3775970365598325</v>
      </c>
    </row>
    <row r="62" spans="1:7" x14ac:dyDescent="0.25">
      <c r="A62" s="5" t="s">
        <v>296</v>
      </c>
      <c r="F62" s="21">
        <v>-111</v>
      </c>
      <c r="G62" s="2" t="s">
        <v>297</v>
      </c>
    </row>
    <row r="64" spans="1:7" x14ac:dyDescent="0.25">
      <c r="A64" s="5" t="s">
        <v>320</v>
      </c>
      <c r="B64" s="21"/>
      <c r="C64" s="21"/>
      <c r="D64" s="21"/>
      <c r="E64" s="21">
        <v>440</v>
      </c>
      <c r="F64" s="21">
        <v>828</v>
      </c>
      <c r="G64" s="2" t="s">
        <v>321</v>
      </c>
    </row>
    <row r="65" spans="1:7" x14ac:dyDescent="0.25">
      <c r="A65" s="5" t="s">
        <v>322</v>
      </c>
      <c r="B65" s="23"/>
      <c r="C65" s="23"/>
      <c r="D65" s="23"/>
      <c r="E65" s="23">
        <f>IF(E6=0,0,E64/E6)</f>
        <v>4.4404077101624785E-2</v>
      </c>
      <c r="F65" s="23">
        <f>IF(F6=0,0,F64/F6)</f>
        <v>6.6677403768722818E-2</v>
      </c>
    </row>
    <row r="66" spans="1:7" x14ac:dyDescent="0.25">
      <c r="A66" s="5" t="s">
        <v>323</v>
      </c>
      <c r="B66" s="24"/>
      <c r="C66" s="24"/>
      <c r="D66" s="24"/>
      <c r="E66" s="24">
        <f>E65*365</f>
        <v>16.207488142093048</v>
      </c>
      <c r="F66" s="24">
        <f>F65*365</f>
        <v>24.33725237558383</v>
      </c>
      <c r="G66" t="s">
        <v>327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34" customWidth="1"/>
    <col min="2" max="2" width="14" customWidth="1"/>
    <col min="3" max="3" width="110" customWidth="1"/>
  </cols>
  <sheetData>
    <row r="1" spans="1:3" ht="18" x14ac:dyDescent="0.25">
      <c r="A1" s="18" t="s">
        <v>127</v>
      </c>
    </row>
    <row r="2" spans="1:3" x14ac:dyDescent="0.25">
      <c r="A2" s="2" t="s">
        <v>128</v>
      </c>
    </row>
    <row r="4" spans="1:3" x14ac:dyDescent="0.25">
      <c r="A4" s="3" t="s">
        <v>129</v>
      </c>
      <c r="B4" s="4" t="s">
        <v>3</v>
      </c>
      <c r="C4" s="4" t="s">
        <v>130</v>
      </c>
    </row>
    <row r="5" spans="1:3" x14ac:dyDescent="0.25">
      <c r="A5" s="19" t="s">
        <v>131</v>
      </c>
      <c r="B5" s="20"/>
      <c r="C5" s="20"/>
    </row>
    <row r="6" spans="1:3" x14ac:dyDescent="0.25">
      <c r="A6" s="5" t="s">
        <v>132</v>
      </c>
      <c r="B6" s="27">
        <v>879</v>
      </c>
      <c r="C6" s="2" t="s">
        <v>291</v>
      </c>
    </row>
    <row r="7" spans="1:3" x14ac:dyDescent="0.25">
      <c r="A7" s="5" t="s">
        <v>133</v>
      </c>
      <c r="B7" s="28">
        <v>157.55000000000001</v>
      </c>
      <c r="C7" s="2" t="s">
        <v>292</v>
      </c>
    </row>
    <row r="8" spans="1:3" x14ac:dyDescent="0.25">
      <c r="A8" s="5" t="s">
        <v>15</v>
      </c>
      <c r="B8" s="24">
        <f>B6*B7</f>
        <v>138486.45000000001</v>
      </c>
      <c r="C8" s="2" t="s">
        <v>134</v>
      </c>
    </row>
    <row r="9" spans="1:3" x14ac:dyDescent="0.25">
      <c r="A9" s="5" t="s">
        <v>135</v>
      </c>
      <c r="B9" s="29">
        <v>4341</v>
      </c>
      <c r="C9" s="2" t="s">
        <v>293</v>
      </c>
    </row>
    <row r="10" spans="1:3" x14ac:dyDescent="0.25">
      <c r="A10" s="5" t="s">
        <v>136</v>
      </c>
      <c r="B10" s="11">
        <f>Historicals!F27</f>
        <v>118</v>
      </c>
      <c r="C10" s="2" t="s">
        <v>137</v>
      </c>
    </row>
    <row r="11" spans="1:3" x14ac:dyDescent="0.25">
      <c r="A11" s="8" t="s">
        <v>138</v>
      </c>
      <c r="B11" s="22">
        <f>B9-B10</f>
        <v>4223</v>
      </c>
      <c r="C11" s="2" t="s">
        <v>139</v>
      </c>
    </row>
    <row r="12" spans="1:3" x14ac:dyDescent="0.25">
      <c r="A12" s="5" t="s">
        <v>140</v>
      </c>
      <c r="B12" s="24">
        <f>B8-B11</f>
        <v>134263.45000000001</v>
      </c>
      <c r="C12" s="2" t="s">
        <v>141</v>
      </c>
    </row>
    <row r="14" spans="1:3" x14ac:dyDescent="0.25">
      <c r="A14" s="19" t="s">
        <v>142</v>
      </c>
      <c r="B14" s="20"/>
      <c r="C14" s="20"/>
    </row>
    <row r="15" spans="1:3" x14ac:dyDescent="0.25">
      <c r="A15" s="5" t="s">
        <v>143</v>
      </c>
      <c r="B15" s="30">
        <v>7.2099999999999997E-2</v>
      </c>
      <c r="C15" s="2" t="s">
        <v>294</v>
      </c>
    </row>
    <row r="16" spans="1:3" x14ac:dyDescent="0.25">
      <c r="A16" s="5" t="s">
        <v>144</v>
      </c>
      <c r="B16" s="30">
        <v>0.06</v>
      </c>
      <c r="C16" s="2" t="s">
        <v>145</v>
      </c>
    </row>
    <row r="17" spans="1:3" x14ac:dyDescent="0.25">
      <c r="A17" s="5" t="s">
        <v>146</v>
      </c>
      <c r="B17" s="31">
        <v>1.26</v>
      </c>
      <c r="C17" s="2" t="s">
        <v>295</v>
      </c>
    </row>
    <row r="18" spans="1:3" x14ac:dyDescent="0.25">
      <c r="A18" s="8" t="s">
        <v>147</v>
      </c>
      <c r="B18" s="10">
        <f>B15+B17*B16</f>
        <v>0.1477</v>
      </c>
      <c r="C18" s="2" t="s">
        <v>148</v>
      </c>
    </row>
    <row r="19" spans="1:3" x14ac:dyDescent="0.25">
      <c r="A19" s="5" t="s">
        <v>149</v>
      </c>
      <c r="B19" s="25">
        <v>8.5000000000000006E-2</v>
      </c>
      <c r="C19" s="2" t="s">
        <v>150</v>
      </c>
    </row>
    <row r="20" spans="1:3" x14ac:dyDescent="0.25">
      <c r="A20" s="5" t="s">
        <v>151</v>
      </c>
      <c r="B20" s="25">
        <v>0.25169999999999998</v>
      </c>
      <c r="C20" s="2" t="s">
        <v>152</v>
      </c>
    </row>
    <row r="21" spans="1:3" x14ac:dyDescent="0.25">
      <c r="A21" s="5" t="s">
        <v>153</v>
      </c>
      <c r="B21" s="23">
        <f>B10/(B10+B8)</f>
        <v>8.5134351747003791E-4</v>
      </c>
      <c r="C21" s="2" t="s">
        <v>154</v>
      </c>
    </row>
    <row r="22" spans="1:3" x14ac:dyDescent="0.25">
      <c r="A22" s="8" t="s">
        <v>155</v>
      </c>
      <c r="B22" s="10">
        <f>(1-B21)*B18+B21*B19*(1-B20)</f>
        <v>0.1476284066925701</v>
      </c>
      <c r="C22" s="2" t="s">
        <v>156</v>
      </c>
    </row>
    <row r="23" spans="1:3" x14ac:dyDescent="0.25">
      <c r="A23" s="5" t="s">
        <v>157</v>
      </c>
      <c r="B23" s="30">
        <v>0.06</v>
      </c>
      <c r="C23" s="2" t="s">
        <v>158</v>
      </c>
    </row>
    <row r="24" spans="1:3" x14ac:dyDescent="0.25">
      <c r="A24" s="5" t="s">
        <v>159</v>
      </c>
      <c r="B24" s="25">
        <v>6.5000000000000002E-2</v>
      </c>
      <c r="C24" s="2" t="s">
        <v>160</v>
      </c>
    </row>
    <row r="26" spans="1:3" x14ac:dyDescent="0.25">
      <c r="A26" s="19" t="s">
        <v>161</v>
      </c>
      <c r="B26" s="20"/>
      <c r="C26" s="20"/>
    </row>
    <row r="27" spans="1:3" x14ac:dyDescent="0.25">
      <c r="A27" s="5" t="s">
        <v>162</v>
      </c>
      <c r="B27" s="25">
        <v>0.5</v>
      </c>
      <c r="C27" s="2" t="s">
        <v>163</v>
      </c>
    </row>
    <row r="28" spans="1:3" x14ac:dyDescent="0.25">
      <c r="A28" s="5" t="s">
        <v>164</v>
      </c>
      <c r="B28" s="23">
        <f>1-B27</f>
        <v>0.5</v>
      </c>
      <c r="C28" s="2"/>
    </row>
    <row r="29" spans="1:3" x14ac:dyDescent="0.25">
      <c r="A29" s="5" t="s">
        <v>165</v>
      </c>
      <c r="B29" s="25">
        <v>0.15</v>
      </c>
      <c r="C29" s="2" t="s">
        <v>166</v>
      </c>
    </row>
    <row r="30" spans="1:3" x14ac:dyDescent="0.25">
      <c r="A30" s="5" t="s">
        <v>167</v>
      </c>
      <c r="B30" s="25">
        <v>-0.1</v>
      </c>
      <c r="C30" s="2" t="s">
        <v>166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zoomScaleNormal="100" workbookViewId="0"/>
  </sheetViews>
  <sheetFormatPr defaultColWidth="8.7109375" defaultRowHeight="15" x14ac:dyDescent="0.25"/>
  <cols>
    <col min="1" max="1" width="44" customWidth="1"/>
    <col min="2" max="6" width="14" customWidth="1"/>
    <col min="7" max="7" width="100" customWidth="1"/>
  </cols>
  <sheetData>
    <row r="1" spans="1:6" ht="18" x14ac:dyDescent="0.25">
      <c r="A1" s="18" t="s">
        <v>168</v>
      </c>
    </row>
    <row r="2" spans="1:6" x14ac:dyDescent="0.25">
      <c r="A2" s="2" t="s">
        <v>352</v>
      </c>
    </row>
    <row r="4" spans="1:6" x14ac:dyDescent="0.25">
      <c r="A4" s="3" t="s">
        <v>129</v>
      </c>
      <c r="B4" s="4" t="s">
        <v>3</v>
      </c>
      <c r="C4" s="4" t="s">
        <v>130</v>
      </c>
    </row>
    <row r="5" spans="1:6" x14ac:dyDescent="0.25">
      <c r="A5" s="5" t="s">
        <v>169</v>
      </c>
      <c r="B5" s="30">
        <v>0.69</v>
      </c>
      <c r="C5" s="2" t="s">
        <v>299</v>
      </c>
    </row>
    <row r="6" spans="1:6" x14ac:dyDescent="0.25">
      <c r="A6" s="5" t="s">
        <v>170</v>
      </c>
      <c r="B6" s="47">
        <f>C35</f>
        <v>0.27311498257839717</v>
      </c>
      <c r="C6" s="2" t="s">
        <v>350</v>
      </c>
    </row>
    <row r="7" spans="1:6" x14ac:dyDescent="0.25">
      <c r="A7" s="5" t="s">
        <v>171</v>
      </c>
      <c r="B7" s="47">
        <f>D35</f>
        <v>0.24113588850174217</v>
      </c>
      <c r="C7" s="2" t="s">
        <v>351</v>
      </c>
    </row>
    <row r="8" spans="1:6" x14ac:dyDescent="0.25">
      <c r="A8" s="5" t="s">
        <v>172</v>
      </c>
      <c r="B8" s="30">
        <v>0.5</v>
      </c>
      <c r="C8" s="2" t="s">
        <v>300</v>
      </c>
    </row>
    <row r="10" spans="1:6" x14ac:dyDescent="0.25">
      <c r="A10" s="19" t="s">
        <v>173</v>
      </c>
      <c r="B10" s="20"/>
      <c r="C10" s="20"/>
    </row>
    <row r="11" spans="1:6" x14ac:dyDescent="0.25">
      <c r="A11" s="5" t="s">
        <v>174</v>
      </c>
      <c r="B11" s="25">
        <v>0</v>
      </c>
      <c r="C11" s="2" t="s">
        <v>175</v>
      </c>
    </row>
    <row r="12" spans="1:6" x14ac:dyDescent="0.25">
      <c r="A12" s="5" t="s">
        <v>176</v>
      </c>
      <c r="B12" s="25">
        <v>0</v>
      </c>
      <c r="C12" s="2"/>
    </row>
    <row r="13" spans="1:6" x14ac:dyDescent="0.25">
      <c r="A13" s="8" t="s">
        <v>177</v>
      </c>
      <c r="B13" s="10">
        <f>-B5*(B6*B11+B7*B12)*(1-B8)</f>
        <v>0</v>
      </c>
      <c r="C13" s="2" t="s">
        <v>178</v>
      </c>
    </row>
    <row r="15" spans="1:6" x14ac:dyDescent="0.25">
      <c r="A15" s="19" t="s">
        <v>179</v>
      </c>
      <c r="B15" s="20"/>
      <c r="C15" s="20"/>
      <c r="D15" s="20"/>
      <c r="E15" s="20"/>
      <c r="F15" s="20"/>
    </row>
    <row r="16" spans="1:6" x14ac:dyDescent="0.25">
      <c r="A16" s="8" t="s">
        <v>180</v>
      </c>
      <c r="B16" s="32">
        <v>-0.2</v>
      </c>
      <c r="C16" s="32">
        <v>-0.1</v>
      </c>
      <c r="D16" s="32">
        <v>0</v>
      </c>
      <c r="E16" s="32">
        <v>0.1</v>
      </c>
      <c r="F16" s="32">
        <v>0.2</v>
      </c>
    </row>
    <row r="17" spans="1:6" x14ac:dyDescent="0.25">
      <c r="A17" s="32">
        <v>-0.2</v>
      </c>
      <c r="B17" s="33">
        <f t="shared" ref="B17:F21" si="0">-$B$5*($B$6*$A17+$B$7*B$16)*(1-$B$8)*10000</f>
        <v>354.83310104529619</v>
      </c>
      <c r="C17" s="33">
        <f t="shared" si="0"/>
        <v>271.64121951219511</v>
      </c>
      <c r="D17" s="33">
        <f t="shared" si="0"/>
        <v>188.44933797909403</v>
      </c>
      <c r="E17" s="33">
        <f t="shared" si="0"/>
        <v>105.257456445993</v>
      </c>
      <c r="F17" s="33">
        <f t="shared" si="0"/>
        <v>22.065574912891957</v>
      </c>
    </row>
    <row r="18" spans="1:6" x14ac:dyDescent="0.25">
      <c r="A18" s="32">
        <v>-0.1</v>
      </c>
      <c r="B18" s="33">
        <f t="shared" si="0"/>
        <v>260.60843205574912</v>
      </c>
      <c r="C18" s="33">
        <f t="shared" si="0"/>
        <v>177.41655052264809</v>
      </c>
      <c r="D18" s="33">
        <f t="shared" si="0"/>
        <v>94.224668989547013</v>
      </c>
      <c r="E18" s="33">
        <f t="shared" si="0"/>
        <v>11.032787456445979</v>
      </c>
      <c r="F18" s="33">
        <f t="shared" si="0"/>
        <v>-72.159094076655066</v>
      </c>
    </row>
    <row r="19" spans="1:6" x14ac:dyDescent="0.25">
      <c r="A19" s="32">
        <v>0</v>
      </c>
      <c r="B19" s="33">
        <f t="shared" si="0"/>
        <v>166.38376306620208</v>
      </c>
      <c r="C19" s="33">
        <f t="shared" si="0"/>
        <v>83.191881533101039</v>
      </c>
      <c r="D19" s="33">
        <f t="shared" si="0"/>
        <v>0</v>
      </c>
      <c r="E19" s="33">
        <f t="shared" si="0"/>
        <v>-83.191881533101039</v>
      </c>
      <c r="F19" s="33">
        <f t="shared" si="0"/>
        <v>-166.38376306620208</v>
      </c>
    </row>
    <row r="20" spans="1:6" x14ac:dyDescent="0.25">
      <c r="A20" s="32">
        <v>0.1</v>
      </c>
      <c r="B20" s="33">
        <f t="shared" si="0"/>
        <v>72.159094076655066</v>
      </c>
      <c r="C20" s="33">
        <f t="shared" si="0"/>
        <v>-11.032787456445979</v>
      </c>
      <c r="D20" s="33">
        <f t="shared" si="0"/>
        <v>-94.224668989547013</v>
      </c>
      <c r="E20" s="33">
        <f t="shared" si="0"/>
        <v>-177.41655052264809</v>
      </c>
      <c r="F20" s="33">
        <f t="shared" si="0"/>
        <v>-260.60843205574912</v>
      </c>
    </row>
    <row r="21" spans="1:6" x14ac:dyDescent="0.25">
      <c r="A21" s="32">
        <v>0.2</v>
      </c>
      <c r="B21" s="33">
        <f t="shared" si="0"/>
        <v>-22.065574912891957</v>
      </c>
      <c r="C21" s="33">
        <f t="shared" si="0"/>
        <v>-105.257456445993</v>
      </c>
      <c r="D21" s="33">
        <f t="shared" si="0"/>
        <v>-188.44933797909403</v>
      </c>
      <c r="E21" s="33">
        <f t="shared" si="0"/>
        <v>-271.64121951219511</v>
      </c>
      <c r="F21" s="33">
        <f t="shared" si="0"/>
        <v>-354.83310104529619</v>
      </c>
    </row>
    <row r="23" spans="1:6" x14ac:dyDescent="0.25">
      <c r="A23" s="19" t="s">
        <v>181</v>
      </c>
      <c r="B23" s="20"/>
      <c r="C23" s="20"/>
    </row>
    <row r="24" spans="1:6" x14ac:dyDescent="0.25">
      <c r="A24" s="5" t="s">
        <v>182</v>
      </c>
      <c r="B24" s="25">
        <v>0.1</v>
      </c>
      <c r="C24" s="2"/>
    </row>
    <row r="25" spans="1:6" x14ac:dyDescent="0.25">
      <c r="A25" s="8" t="s">
        <v>183</v>
      </c>
      <c r="B25" s="22">
        <f>-B5*B6*B24*(1-B8)*Forecast!C20</f>
        <v>-138.82582183108013</v>
      </c>
      <c r="C25" s="2" t="s">
        <v>184</v>
      </c>
    </row>
    <row r="26" spans="1:6" x14ac:dyDescent="0.25">
      <c r="A26" s="5" t="s">
        <v>185</v>
      </c>
      <c r="B26" s="23">
        <f>IF(Forecast!C23=0,0,B25/Forecast!C23)</f>
        <v>-7.2480514607343866E-2</v>
      </c>
      <c r="C26" s="2"/>
    </row>
    <row r="28" spans="1:6" x14ac:dyDescent="0.25">
      <c r="A28" s="44" t="s">
        <v>333</v>
      </c>
    </row>
    <row r="29" spans="1:6" x14ac:dyDescent="0.25">
      <c r="A29" s="44" t="s">
        <v>334</v>
      </c>
      <c r="B29" s="44" t="s">
        <v>335</v>
      </c>
      <c r="C29" s="44" t="s">
        <v>336</v>
      </c>
      <c r="D29" s="44" t="s">
        <v>337</v>
      </c>
      <c r="E29" s="44" t="s">
        <v>130</v>
      </c>
    </row>
    <row r="30" spans="1:6" x14ac:dyDescent="0.25">
      <c r="A30" t="s">
        <v>338</v>
      </c>
      <c r="B30" s="45">
        <v>0.3</v>
      </c>
      <c r="C30" s="45">
        <v>0.38095238095238093</v>
      </c>
      <c r="D30" s="45">
        <v>0.32142857142857145</v>
      </c>
      <c r="E30" s="43" t="s">
        <v>339</v>
      </c>
    </row>
    <row r="31" spans="1:6" x14ac:dyDescent="0.25">
      <c r="A31" t="s">
        <v>340</v>
      </c>
      <c r="B31" s="45">
        <v>0.12</v>
      </c>
      <c r="C31" s="45">
        <v>0.15</v>
      </c>
      <c r="D31" s="45">
        <v>0.05</v>
      </c>
      <c r="E31" s="43" t="s">
        <v>341</v>
      </c>
    </row>
    <row r="32" spans="1:6" x14ac:dyDescent="0.25">
      <c r="A32" t="s">
        <v>342</v>
      </c>
      <c r="B32" s="45">
        <v>0.4</v>
      </c>
      <c r="C32" s="45">
        <v>0.31707317073170732</v>
      </c>
      <c r="D32" s="45">
        <v>0.32926829268292684</v>
      </c>
      <c r="E32" s="43" t="s">
        <v>343</v>
      </c>
    </row>
    <row r="33" spans="1:5" x14ac:dyDescent="0.25">
      <c r="A33" t="s">
        <v>344</v>
      </c>
      <c r="B33" s="45">
        <v>0.14000000000000001</v>
      </c>
      <c r="C33" s="45">
        <v>0.1</v>
      </c>
      <c r="D33" s="45">
        <v>0.05</v>
      </c>
      <c r="E33" s="43" t="s">
        <v>345</v>
      </c>
    </row>
    <row r="34" spans="1:5" x14ac:dyDescent="0.25">
      <c r="A34" t="s">
        <v>346</v>
      </c>
      <c r="B34" s="45">
        <v>0.04</v>
      </c>
      <c r="C34" s="45">
        <v>0</v>
      </c>
      <c r="D34" s="45">
        <v>0</v>
      </c>
      <c r="E34" s="43" t="s">
        <v>347</v>
      </c>
    </row>
    <row r="35" spans="1:5" x14ac:dyDescent="0.25">
      <c r="A35" s="44" t="s">
        <v>348</v>
      </c>
      <c r="B35" s="46">
        <f>SUM(B30:B34)</f>
        <v>1</v>
      </c>
      <c r="C35" s="46">
        <f>SUMPRODUCT($B$30:$B$34,C30:C34)</f>
        <v>0.27311498257839717</v>
      </c>
      <c r="D35" s="46">
        <f>SUMPRODUCT($B$30:$B$34,D30:D34)</f>
        <v>0.24113588850174217</v>
      </c>
    </row>
    <row r="36" spans="1:5" x14ac:dyDescent="0.25">
      <c r="A36" s="43" t="s">
        <v>349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36" customWidth="1"/>
    <col min="2" max="7" width="11" customWidth="1"/>
    <col min="8" max="8" width="90" customWidth="1"/>
  </cols>
  <sheetData>
    <row r="1" spans="1:8" ht="18" x14ac:dyDescent="0.25">
      <c r="A1" s="18" t="s">
        <v>186</v>
      </c>
    </row>
    <row r="2" spans="1:8" x14ac:dyDescent="0.25">
      <c r="A2" s="2" t="s">
        <v>187</v>
      </c>
    </row>
    <row r="4" spans="1:8" x14ac:dyDescent="0.25">
      <c r="A4" s="3" t="s">
        <v>42</v>
      </c>
      <c r="B4" s="4" t="s">
        <v>188</v>
      </c>
      <c r="C4" s="4" t="s">
        <v>189</v>
      </c>
      <c r="D4" s="4" t="s">
        <v>190</v>
      </c>
      <c r="E4" s="4" t="s">
        <v>191</v>
      </c>
      <c r="F4" s="4" t="s">
        <v>192</v>
      </c>
      <c r="G4" s="4" t="s">
        <v>193</v>
      </c>
      <c r="H4" s="4" t="s">
        <v>194</v>
      </c>
    </row>
    <row r="5" spans="1:8" x14ac:dyDescent="0.25">
      <c r="A5" s="19" t="s">
        <v>195</v>
      </c>
      <c r="B5" s="20"/>
      <c r="C5" s="20"/>
      <c r="D5" s="20"/>
      <c r="E5" s="20"/>
      <c r="F5" s="20"/>
      <c r="G5" s="20"/>
      <c r="H5" s="20"/>
    </row>
    <row r="6" spans="1:8" x14ac:dyDescent="0.25">
      <c r="A6" s="5" t="s">
        <v>196</v>
      </c>
      <c r="C6" s="30">
        <v>0.3</v>
      </c>
      <c r="D6" s="30">
        <v>0.25</v>
      </c>
      <c r="E6" s="30">
        <v>0.2</v>
      </c>
      <c r="F6" s="30">
        <v>0.18</v>
      </c>
      <c r="G6" s="30">
        <v>0.15</v>
      </c>
      <c r="H6" s="2" t="s">
        <v>329</v>
      </c>
    </row>
    <row r="7" spans="1:8" x14ac:dyDescent="0.25">
      <c r="A7" s="5" t="s">
        <v>197</v>
      </c>
      <c r="C7" s="30">
        <v>7.0000000000000007E-2</v>
      </c>
      <c r="D7" s="30">
        <v>0.08</v>
      </c>
      <c r="E7" s="30">
        <v>0.08</v>
      </c>
      <c r="F7" s="30">
        <v>0.08</v>
      </c>
      <c r="G7" s="30">
        <v>0.08</v>
      </c>
      <c r="H7" s="2" t="s">
        <v>330</v>
      </c>
    </row>
    <row r="8" spans="1:8" x14ac:dyDescent="0.25">
      <c r="A8" s="5" t="s">
        <v>198</v>
      </c>
      <c r="C8" s="30">
        <v>0.6</v>
      </c>
      <c r="D8" s="30">
        <v>0.5</v>
      </c>
      <c r="E8" s="30">
        <v>0.4</v>
      </c>
      <c r="F8" s="30">
        <v>0.3</v>
      </c>
      <c r="G8" s="30">
        <v>0.25</v>
      </c>
      <c r="H8" s="2" t="s">
        <v>331</v>
      </c>
    </row>
    <row r="9" spans="1:8" x14ac:dyDescent="0.25">
      <c r="A9" s="5" t="s">
        <v>199</v>
      </c>
      <c r="B9" s="13">
        <f>Historicals!F9</f>
        <v>0.13214688355612819</v>
      </c>
      <c r="C9" s="30">
        <v>0.13</v>
      </c>
      <c r="D9" s="30">
        <v>0.14000000000000001</v>
      </c>
      <c r="E9" s="30">
        <v>0.14499999999999999</v>
      </c>
      <c r="F9" s="30">
        <v>0.14499999999999999</v>
      </c>
      <c r="G9" s="30">
        <v>0.14499999999999999</v>
      </c>
      <c r="H9" s="2" t="s">
        <v>332</v>
      </c>
    </row>
    <row r="10" spans="1:8" x14ac:dyDescent="0.25">
      <c r="A10" s="5" t="s">
        <v>200</v>
      </c>
      <c r="C10" s="13">
        <f>Commodity!$B$13</f>
        <v>0</v>
      </c>
      <c r="D10" s="13">
        <f>Commodity!$B$13</f>
        <v>0</v>
      </c>
      <c r="E10" s="13">
        <f>Commodity!$B$13</f>
        <v>0</v>
      </c>
      <c r="F10" s="13">
        <f>Commodity!$B$13</f>
        <v>0</v>
      </c>
      <c r="G10" s="13">
        <f>Commodity!$B$13</f>
        <v>0</v>
      </c>
      <c r="H10" s="2" t="s">
        <v>201</v>
      </c>
    </row>
    <row r="11" spans="1:8" x14ac:dyDescent="0.25">
      <c r="A11" s="5" t="s">
        <v>72</v>
      </c>
      <c r="B11" s="13">
        <f>Historicals!F21</f>
        <v>1.5783540022547914E-2</v>
      </c>
      <c r="C11" s="30">
        <v>1.7999999999999999E-2</v>
      </c>
      <c r="D11" s="30">
        <v>1.7999999999999999E-2</v>
      </c>
      <c r="E11" s="30">
        <v>1.7999999999999999E-2</v>
      </c>
      <c r="F11" s="30">
        <v>1.7999999999999999E-2</v>
      </c>
      <c r="G11" s="30">
        <v>1.7999999999999999E-2</v>
      </c>
      <c r="H11" s="2" t="s">
        <v>202</v>
      </c>
    </row>
    <row r="12" spans="1:8" x14ac:dyDescent="0.25">
      <c r="A12" s="5" t="s">
        <v>103</v>
      </c>
      <c r="B12" s="13">
        <f>Historicals!F44</f>
        <v>6.2328877435980028E-2</v>
      </c>
      <c r="C12" s="30">
        <v>0.06</v>
      </c>
      <c r="D12" s="30">
        <v>5.5E-2</v>
      </c>
      <c r="E12" s="30">
        <v>0.05</v>
      </c>
      <c r="F12" s="30">
        <v>4.4999999999999998E-2</v>
      </c>
      <c r="G12" s="30">
        <v>0.04</v>
      </c>
      <c r="H12" s="2" t="s">
        <v>203</v>
      </c>
    </row>
    <row r="13" spans="1:8" x14ac:dyDescent="0.25">
      <c r="A13" s="5" t="s">
        <v>204</v>
      </c>
      <c r="B13" s="13">
        <f>Historicals!F65</f>
        <v>6.6677403768722818E-2</v>
      </c>
      <c r="C13" s="30">
        <v>7.0000000000000007E-2</v>
      </c>
      <c r="D13" s="30">
        <v>7.0000000000000007E-2</v>
      </c>
      <c r="E13" s="30">
        <v>7.0000000000000007E-2</v>
      </c>
      <c r="F13" s="30">
        <v>7.0000000000000007E-2</v>
      </c>
      <c r="G13" s="30">
        <v>7.0000000000000007E-2</v>
      </c>
      <c r="H13" s="2" t="s">
        <v>324</v>
      </c>
    </row>
    <row r="15" spans="1:8" x14ac:dyDescent="0.25">
      <c r="A15" s="19" t="s">
        <v>205</v>
      </c>
      <c r="B15" s="20"/>
      <c r="C15" s="20"/>
      <c r="D15" s="20"/>
      <c r="E15" s="20"/>
      <c r="F15" s="20"/>
      <c r="G15" s="20"/>
      <c r="H15" s="20"/>
    </row>
    <row r="16" spans="1:8" x14ac:dyDescent="0.25">
      <c r="A16" s="5" t="s">
        <v>116</v>
      </c>
      <c r="B16" s="11">
        <f>Historicals!F56</f>
        <v>5138</v>
      </c>
      <c r="C16" s="24">
        <f t="shared" ref="C16:G18" si="0">B16*(1+C6)</f>
        <v>6679.4000000000005</v>
      </c>
      <c r="D16" s="24">
        <f t="shared" si="0"/>
        <v>8349.25</v>
      </c>
      <c r="E16" s="24">
        <f t="shared" si="0"/>
        <v>10019.1</v>
      </c>
      <c r="F16" s="24">
        <f t="shared" si="0"/>
        <v>11822.538</v>
      </c>
      <c r="G16" s="24">
        <f t="shared" si="0"/>
        <v>13595.9187</v>
      </c>
    </row>
    <row r="17" spans="1:8" x14ac:dyDescent="0.25">
      <c r="A17" s="5" t="s">
        <v>206</v>
      </c>
      <c r="B17" s="11">
        <f>Historicals!F57</f>
        <v>6747</v>
      </c>
      <c r="C17" s="24">
        <f t="shared" si="0"/>
        <v>7219.2900000000009</v>
      </c>
      <c r="D17" s="24">
        <f t="shared" si="0"/>
        <v>7796.8332000000019</v>
      </c>
      <c r="E17" s="24">
        <f t="shared" si="0"/>
        <v>8420.5798560000021</v>
      </c>
      <c r="F17" s="24">
        <f t="shared" si="0"/>
        <v>9094.2262444800035</v>
      </c>
      <c r="G17" s="24">
        <f t="shared" si="0"/>
        <v>9821.7643440384036</v>
      </c>
    </row>
    <row r="18" spans="1:8" x14ac:dyDescent="0.25">
      <c r="A18" s="5" t="s">
        <v>120</v>
      </c>
      <c r="B18" s="11">
        <f>Historicals!F58</f>
        <v>503</v>
      </c>
      <c r="C18" s="24">
        <f t="shared" si="0"/>
        <v>804.80000000000007</v>
      </c>
      <c r="D18" s="24">
        <f t="shared" si="0"/>
        <v>1207.2</v>
      </c>
      <c r="E18" s="24">
        <f t="shared" si="0"/>
        <v>1690.08</v>
      </c>
      <c r="F18" s="24">
        <f t="shared" si="0"/>
        <v>2197.1039999999998</v>
      </c>
      <c r="G18" s="24">
        <f t="shared" si="0"/>
        <v>2746.3799999999997</v>
      </c>
    </row>
    <row r="19" spans="1:8" x14ac:dyDescent="0.25">
      <c r="A19" s="5" t="s">
        <v>122</v>
      </c>
      <c r="B19" s="11">
        <f>Historicals!F59</f>
        <v>30</v>
      </c>
      <c r="C19" s="24">
        <f>B19</f>
        <v>30</v>
      </c>
      <c r="D19" s="24">
        <f>C19</f>
        <v>30</v>
      </c>
      <c r="E19" s="24">
        <f>D19</f>
        <v>30</v>
      </c>
      <c r="F19" s="24">
        <f>E19</f>
        <v>30</v>
      </c>
      <c r="G19" s="24">
        <f>F19</f>
        <v>30</v>
      </c>
      <c r="H19" s="2" t="s">
        <v>207</v>
      </c>
    </row>
    <row r="20" spans="1:8" x14ac:dyDescent="0.25">
      <c r="A20" s="8" t="s">
        <v>208</v>
      </c>
      <c r="B20" s="22">
        <f t="shared" ref="B20:G20" si="1">SUM(B16:B19)</f>
        <v>12418</v>
      </c>
      <c r="C20" s="22">
        <f t="shared" si="1"/>
        <v>14733.490000000002</v>
      </c>
      <c r="D20" s="22">
        <f t="shared" si="1"/>
        <v>17383.283200000002</v>
      </c>
      <c r="E20" s="22">
        <f t="shared" si="1"/>
        <v>20159.759856000004</v>
      </c>
      <c r="F20" s="22">
        <f t="shared" si="1"/>
        <v>23143.868244480003</v>
      </c>
      <c r="G20" s="22">
        <f t="shared" si="1"/>
        <v>26194.063044038405</v>
      </c>
    </row>
    <row r="21" spans="1:8" x14ac:dyDescent="0.25">
      <c r="A21" s="5" t="s">
        <v>55</v>
      </c>
      <c r="B21" s="13">
        <f>Historicals!F10</f>
        <v>0.25320415783631045</v>
      </c>
      <c r="C21" s="23">
        <f>C20/B20-1</f>
        <v>0.18646239330004843</v>
      </c>
      <c r="D21" s="23">
        <f>D20/C20-1</f>
        <v>0.17984830478046954</v>
      </c>
      <c r="E21" s="23">
        <f>E20/D20-1</f>
        <v>0.15972107363469767</v>
      </c>
      <c r="F21" s="23">
        <f>F20/E20-1</f>
        <v>0.14802301266460072</v>
      </c>
      <c r="G21" s="23">
        <f>G20/F20-1</f>
        <v>0.13179278275082207</v>
      </c>
    </row>
    <row r="22" spans="1:8" x14ac:dyDescent="0.25">
      <c r="A22" s="5" t="s">
        <v>54</v>
      </c>
      <c r="B22" s="13">
        <f>Historicals!F9</f>
        <v>0.13214688355612819</v>
      </c>
      <c r="C22" s="23">
        <f>C9+C10</f>
        <v>0.13</v>
      </c>
      <c r="D22" s="23">
        <f>D9+D10</f>
        <v>0.14000000000000001</v>
      </c>
      <c r="E22" s="23">
        <f>E9+E10</f>
        <v>0.14499999999999999</v>
      </c>
      <c r="F22" s="23">
        <f>F9+F10</f>
        <v>0.14499999999999999</v>
      </c>
      <c r="G22" s="23">
        <f>G9+G10</f>
        <v>0.14499999999999999</v>
      </c>
    </row>
    <row r="23" spans="1:8" x14ac:dyDescent="0.25">
      <c r="A23" s="8" t="s">
        <v>52</v>
      </c>
      <c r="B23" s="34">
        <f>Historicals!F8</f>
        <v>1641</v>
      </c>
      <c r="C23" s="22">
        <f>C20*C22</f>
        <v>1915.3537000000003</v>
      </c>
      <c r="D23" s="22">
        <f>D20*D22</f>
        <v>2433.6596480000003</v>
      </c>
      <c r="E23" s="22">
        <f>E20*E22</f>
        <v>2923.1651791200006</v>
      </c>
      <c r="F23" s="22">
        <f>F20*F22</f>
        <v>3355.8608954496003</v>
      </c>
      <c r="G23" s="22">
        <f>G20*G22</f>
        <v>3798.1391413855686</v>
      </c>
    </row>
    <row r="24" spans="1:8" x14ac:dyDescent="0.25">
      <c r="A24" s="5" t="s">
        <v>60</v>
      </c>
      <c r="B24" s="11">
        <f>Historicals!F13</f>
        <v>196</v>
      </c>
      <c r="C24" s="24">
        <f>C20*C11</f>
        <v>265.20282000000003</v>
      </c>
      <c r="D24" s="24">
        <f>D20*D11</f>
        <v>312.8990976</v>
      </c>
      <c r="E24" s="24">
        <f>E20*E11</f>
        <v>362.87567740800006</v>
      </c>
      <c r="F24" s="24">
        <f>F20*F11</f>
        <v>416.58962840064004</v>
      </c>
      <c r="G24" s="24">
        <f>G20*G11</f>
        <v>471.49313479269125</v>
      </c>
    </row>
    <row r="25" spans="1:8" x14ac:dyDescent="0.25">
      <c r="A25" s="5" t="s">
        <v>209</v>
      </c>
      <c r="B25" s="24">
        <f t="shared" ref="B25:G25" si="2">B23-B24</f>
        <v>1445</v>
      </c>
      <c r="C25" s="24">
        <f t="shared" si="2"/>
        <v>1650.1508800000004</v>
      </c>
      <c r="D25" s="24">
        <f t="shared" si="2"/>
        <v>2120.7605504000003</v>
      </c>
      <c r="E25" s="24">
        <f t="shared" si="2"/>
        <v>2560.2895017120004</v>
      </c>
      <c r="F25" s="24">
        <f t="shared" si="2"/>
        <v>2939.2712670489605</v>
      </c>
      <c r="G25" s="24">
        <f t="shared" si="2"/>
        <v>3326.6460065928773</v>
      </c>
    </row>
    <row r="26" spans="1:8" x14ac:dyDescent="0.25">
      <c r="A26" s="5" t="s">
        <v>57</v>
      </c>
      <c r="B26" s="11">
        <f>Historicals!F11</f>
        <v>208</v>
      </c>
      <c r="C26" s="24">
        <f>Inputs!$B$9*Inputs!$B$24</f>
        <v>282.16500000000002</v>
      </c>
      <c r="D26" s="24">
        <f>Inputs!$B$9*Inputs!$B$24</f>
        <v>282.16500000000002</v>
      </c>
      <c r="E26" s="24">
        <f>Inputs!$B$9*Inputs!$B$24</f>
        <v>282.16500000000002</v>
      </c>
      <c r="F26" s="24">
        <f>Inputs!$B$9*Inputs!$B$24</f>
        <v>282.16500000000002</v>
      </c>
      <c r="G26" s="24">
        <f>Inputs!$B$9*Inputs!$B$24</f>
        <v>282.16500000000002</v>
      </c>
      <c r="H26" s="2" t="s">
        <v>210</v>
      </c>
    </row>
    <row r="27" spans="1:8" x14ac:dyDescent="0.25">
      <c r="A27" s="5" t="s">
        <v>59</v>
      </c>
      <c r="B27" s="11">
        <f>Historicals!F12</f>
        <v>25</v>
      </c>
      <c r="C27" s="24">
        <f>$B$27</f>
        <v>25</v>
      </c>
      <c r="D27" s="24">
        <f>$B$27</f>
        <v>25</v>
      </c>
      <c r="E27" s="24">
        <f>$B$27</f>
        <v>25</v>
      </c>
      <c r="F27" s="24">
        <f>$B$27</f>
        <v>25</v>
      </c>
      <c r="G27" s="24">
        <f>$B$27</f>
        <v>25</v>
      </c>
      <c r="H27" s="2" t="s">
        <v>211</v>
      </c>
    </row>
    <row r="28" spans="1:8" x14ac:dyDescent="0.25">
      <c r="A28" s="8" t="s">
        <v>212</v>
      </c>
      <c r="B28" s="22">
        <f t="shared" ref="B28:G28" si="3">B25+B26-B27</f>
        <v>1628</v>
      </c>
      <c r="C28" s="22">
        <f t="shared" si="3"/>
        <v>1907.3158800000003</v>
      </c>
      <c r="D28" s="22">
        <f t="shared" si="3"/>
        <v>2377.9255504000002</v>
      </c>
      <c r="E28" s="22">
        <f t="shared" si="3"/>
        <v>2817.4545017120004</v>
      </c>
      <c r="F28" s="22">
        <f t="shared" si="3"/>
        <v>3196.4362670489604</v>
      </c>
      <c r="G28" s="22">
        <f t="shared" si="3"/>
        <v>3583.8110065928772</v>
      </c>
    </row>
    <row r="29" spans="1:8" x14ac:dyDescent="0.25">
      <c r="A29" s="5" t="s">
        <v>213</v>
      </c>
      <c r="B29" s="24">
        <f>B28-B30</f>
        <v>429</v>
      </c>
      <c r="C29" s="24">
        <f>C28*Inputs!$B$20</f>
        <v>480.07140699600006</v>
      </c>
      <c r="D29" s="24">
        <f>D28*Inputs!$B$20</f>
        <v>598.52386103568006</v>
      </c>
      <c r="E29" s="24">
        <f>E28*Inputs!$B$20</f>
        <v>709.15329808091042</v>
      </c>
      <c r="F29" s="24">
        <f>F28*Inputs!$B$20</f>
        <v>804.5430084162233</v>
      </c>
      <c r="G29" s="24">
        <f>G28*Inputs!$B$20</f>
        <v>902.04523035942714</v>
      </c>
      <c r="H29" s="2" t="s">
        <v>214</v>
      </c>
    </row>
    <row r="30" spans="1:8" x14ac:dyDescent="0.25">
      <c r="A30" s="8" t="s">
        <v>215</v>
      </c>
      <c r="B30" s="34">
        <f>Historicals!F18</f>
        <v>1199</v>
      </c>
      <c r="C30" s="22">
        <f>C28-C29</f>
        <v>1427.2444730040002</v>
      </c>
      <c r="D30" s="22">
        <f>D28-D29</f>
        <v>1779.4016893643202</v>
      </c>
      <c r="E30" s="22">
        <f>E28-E29</f>
        <v>2108.3012036310902</v>
      </c>
      <c r="F30" s="22">
        <f>F28-F29</f>
        <v>2391.8932586327373</v>
      </c>
      <c r="G30" s="22">
        <f>G28-G29</f>
        <v>2681.7657762334502</v>
      </c>
    </row>
    <row r="31" spans="1:8" x14ac:dyDescent="0.25">
      <c r="A31" s="5" t="s">
        <v>216</v>
      </c>
      <c r="B31" s="6">
        <f>Historicals!F19</f>
        <v>7.66</v>
      </c>
      <c r="C31" s="35">
        <f>C30/Inputs!$B$7</f>
        <v>9.0589937988194222</v>
      </c>
      <c r="D31" s="35">
        <f>D30/Inputs!$B$7</f>
        <v>11.294203042617074</v>
      </c>
      <c r="E31" s="35">
        <f>E30/Inputs!$B$7</f>
        <v>13.381791200451222</v>
      </c>
      <c r="F31" s="35">
        <f>F30/Inputs!$B$7</f>
        <v>15.181804243939938</v>
      </c>
      <c r="G31" s="35">
        <f>G30/Inputs!$B$7</f>
        <v>17.021680585423358</v>
      </c>
    </row>
    <row r="32" spans="1:8" x14ac:dyDescent="0.25">
      <c r="A32" s="5" t="s">
        <v>217</v>
      </c>
      <c r="C32" s="23">
        <f>C31/B31-1</f>
        <v>0.18263626616441542</v>
      </c>
      <c r="D32" s="23">
        <f>D31/C31-1</f>
        <v>0.24673923985784674</v>
      </c>
      <c r="E32" s="23">
        <f>E31/D31-1</f>
        <v>0.18483713724261275</v>
      </c>
      <c r="F32" s="23">
        <f>F31/E31-1</f>
        <v>0.13451211549527264</v>
      </c>
      <c r="G32" s="23">
        <f>G31/F31-1</f>
        <v>0.12118957087843074</v>
      </c>
    </row>
    <row r="33" spans="1:8" x14ac:dyDescent="0.25">
      <c r="A33" s="5" t="s">
        <v>218</v>
      </c>
      <c r="B33" s="12">
        <f>Inputs!$B$6/B31</f>
        <v>114.75195822454307</v>
      </c>
      <c r="C33" s="12">
        <f>Inputs!$B$6/C31</f>
        <v>97.030643747051926</v>
      </c>
      <c r="D33" s="12">
        <f>Inputs!$B$6/D31</f>
        <v>77.827536540933266</v>
      </c>
      <c r="E33" s="12">
        <f>Inputs!$B$6/E31</f>
        <v>65.686273745652301</v>
      </c>
      <c r="F33" s="12">
        <f>Inputs!$B$6/F31</f>
        <v>57.898256747110082</v>
      </c>
      <c r="G33" s="12">
        <f>Inputs!$B$6/G31</f>
        <v>51.640024355335285</v>
      </c>
      <c r="H33" s="2" t="s">
        <v>219</v>
      </c>
    </row>
    <row r="35" spans="1:8" x14ac:dyDescent="0.25">
      <c r="A35" s="19" t="s">
        <v>220</v>
      </c>
      <c r="B35" s="20"/>
      <c r="C35" s="20"/>
      <c r="D35" s="20"/>
      <c r="E35" s="20"/>
      <c r="F35" s="20"/>
      <c r="G35" s="20"/>
      <c r="H35" s="20"/>
    </row>
    <row r="36" spans="1:8" x14ac:dyDescent="0.25">
      <c r="A36" s="5" t="s">
        <v>221</v>
      </c>
      <c r="C36" s="24">
        <f>C25*(1-Inputs!$B$20)</f>
        <v>1234.8079035040003</v>
      </c>
      <c r="D36" s="24">
        <f>D25*(1-Inputs!$B$20)</f>
        <v>1586.9651198643201</v>
      </c>
      <c r="E36" s="24">
        <f>E25*(1-Inputs!$B$20)</f>
        <v>1915.8646341310898</v>
      </c>
      <c r="F36" s="24">
        <f>F25*(1-Inputs!$B$20)</f>
        <v>2199.4566891327372</v>
      </c>
      <c r="G36" s="24">
        <f>G25*(1-Inputs!$B$20)</f>
        <v>2489.3292067334501</v>
      </c>
    </row>
    <row r="37" spans="1:8" x14ac:dyDescent="0.25">
      <c r="A37" s="5" t="s">
        <v>222</v>
      </c>
      <c r="C37" s="24">
        <f>C24</f>
        <v>265.20282000000003</v>
      </c>
      <c r="D37" s="24">
        <f>D24</f>
        <v>312.8990976</v>
      </c>
      <c r="E37" s="24">
        <f>E24</f>
        <v>362.87567740800006</v>
      </c>
      <c r="F37" s="24">
        <f>F24</f>
        <v>416.58962840064004</v>
      </c>
      <c r="G37" s="24">
        <f>G24</f>
        <v>471.49313479269125</v>
      </c>
    </row>
    <row r="38" spans="1:8" x14ac:dyDescent="0.25">
      <c r="A38" s="5" t="s">
        <v>223</v>
      </c>
      <c r="C38" s="24">
        <f>C20*C12</f>
        <v>884.00940000000003</v>
      </c>
      <c r="D38" s="24">
        <f>D20*D12</f>
        <v>956.08057600000006</v>
      </c>
      <c r="E38" s="24">
        <f>E20*E12</f>
        <v>1007.9879928000003</v>
      </c>
      <c r="F38" s="24">
        <f>F20*F12</f>
        <v>1041.4740710016001</v>
      </c>
      <c r="G38" s="24">
        <f>G20*G12</f>
        <v>1047.7625217615362</v>
      </c>
    </row>
    <row r="39" spans="1:8" x14ac:dyDescent="0.25">
      <c r="A39" s="5" t="s">
        <v>224</v>
      </c>
      <c r="B39" s="24">
        <f t="shared" ref="B39:G39" si="4">B20*B13</f>
        <v>828</v>
      </c>
      <c r="C39" s="24">
        <f t="shared" si="4"/>
        <v>1031.3443000000002</v>
      </c>
      <c r="D39" s="24">
        <f t="shared" si="4"/>
        <v>1216.8298240000001</v>
      </c>
      <c r="E39" s="24">
        <f t="shared" si="4"/>
        <v>1411.1831899200004</v>
      </c>
      <c r="F39" s="24">
        <f t="shared" si="4"/>
        <v>1620.0707771136003</v>
      </c>
      <c r="G39" s="24">
        <f t="shared" si="4"/>
        <v>1833.5844130826886</v>
      </c>
    </row>
    <row r="40" spans="1:8" x14ac:dyDescent="0.25">
      <c r="A40" s="5" t="s">
        <v>225</v>
      </c>
      <c r="C40" s="24">
        <f>C39-B39</f>
        <v>203.3443000000002</v>
      </c>
      <c r="D40" s="24">
        <f>D39-C39</f>
        <v>185.48552399999994</v>
      </c>
      <c r="E40" s="24">
        <f>E39-D39</f>
        <v>194.35336592000021</v>
      </c>
      <c r="F40" s="24">
        <f>F39-E39</f>
        <v>208.88758719359998</v>
      </c>
      <c r="G40" s="24">
        <f>G39-F39</f>
        <v>213.51363596908823</v>
      </c>
    </row>
    <row r="41" spans="1:8" x14ac:dyDescent="0.25">
      <c r="A41" s="8" t="s">
        <v>226</v>
      </c>
      <c r="C41" s="22">
        <f>C36+C37-C38-C40</f>
        <v>412.65702350399999</v>
      </c>
      <c r="D41" s="22">
        <f>D36+D37-D38-D40</f>
        <v>758.29811746432006</v>
      </c>
      <c r="E41" s="22">
        <f>E36+E37-E38-E40</f>
        <v>1076.3989528190893</v>
      </c>
      <c r="F41" s="22">
        <f>F36+F37-F38-F40</f>
        <v>1365.684659338177</v>
      </c>
      <c r="G41" s="22">
        <f>G36+G37-G38-G40</f>
        <v>1699.546183795517</v>
      </c>
    </row>
    <row r="42" spans="1:8" x14ac:dyDescent="0.25">
      <c r="A42" s="5" t="s">
        <v>227</v>
      </c>
      <c r="C42" s="23">
        <f>IF(C20=0,0,C41/C20)</f>
        <v>2.8008097436791959E-2</v>
      </c>
      <c r="D42" s="23">
        <f>IF(D20=0,0,D41/D20)</f>
        <v>4.3622261038945738E-2</v>
      </c>
      <c r="E42" s="23">
        <f>IF(E20=0,0,E41/E20)</f>
        <v>5.3393441216946266E-2</v>
      </c>
      <c r="F42" s="23">
        <f>IF(F20=0,0,F41/F20)</f>
        <v>5.9008487471142755E-2</v>
      </c>
      <c r="G42" s="23">
        <f>IF(G20=0,0,G41/G20)</f>
        <v>6.4882877503126518E-2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zoomScaleNormal="100" workbookViewId="0">
      <pane xSplit="1" ySplit="4" topLeftCell="B27" activePane="bottomRight" state="frozen"/>
      <selection pane="topRight" activeCell="B1" sqref="B1"/>
      <selection pane="bottomLeft" activeCell="A5" sqref="A5"/>
      <selection pane="bottomRight" activeCell="B47" sqref="B47:E47"/>
    </sheetView>
  </sheetViews>
  <sheetFormatPr defaultColWidth="8.7109375" defaultRowHeight="15" x14ac:dyDescent="0.25"/>
  <cols>
    <col min="1" max="1" width="44" customWidth="1"/>
    <col min="2" max="11" width="11" customWidth="1"/>
  </cols>
  <sheetData>
    <row r="1" spans="1:11" ht="18" x14ac:dyDescent="0.25">
      <c r="A1" s="18" t="s">
        <v>228</v>
      </c>
    </row>
    <row r="2" spans="1:11" x14ac:dyDescent="0.25">
      <c r="A2" s="2" t="s">
        <v>229</v>
      </c>
    </row>
    <row r="4" spans="1:11" x14ac:dyDescent="0.25">
      <c r="A4" s="3" t="s">
        <v>42</v>
      </c>
      <c r="B4" s="4" t="s">
        <v>189</v>
      </c>
      <c r="C4" s="4" t="s">
        <v>190</v>
      </c>
      <c r="D4" s="4" t="s">
        <v>191</v>
      </c>
      <c r="E4" s="4" t="s">
        <v>192</v>
      </c>
      <c r="F4" s="4" t="s">
        <v>193</v>
      </c>
      <c r="G4" s="4" t="s">
        <v>230</v>
      </c>
      <c r="H4" s="4" t="s">
        <v>231</v>
      </c>
      <c r="I4" s="4" t="s">
        <v>232</v>
      </c>
      <c r="J4" s="4" t="s">
        <v>233</v>
      </c>
      <c r="K4" s="4" t="s">
        <v>234</v>
      </c>
    </row>
    <row r="5" spans="1:11" x14ac:dyDescent="0.25">
      <c r="A5" s="5" t="s">
        <v>235</v>
      </c>
      <c r="B5" s="36" t="s">
        <v>236</v>
      </c>
      <c r="C5" s="36" t="s">
        <v>236</v>
      </c>
      <c r="D5" s="36" t="s">
        <v>236</v>
      </c>
      <c r="E5" s="36" t="s">
        <v>236</v>
      </c>
      <c r="F5" s="36" t="s">
        <v>236</v>
      </c>
      <c r="G5" s="36" t="s">
        <v>237</v>
      </c>
      <c r="H5" s="36" t="s">
        <v>237</v>
      </c>
      <c r="I5" s="36" t="s">
        <v>237</v>
      </c>
      <c r="J5" s="36" t="s">
        <v>237</v>
      </c>
      <c r="K5" s="36" t="s">
        <v>237</v>
      </c>
    </row>
    <row r="6" spans="1:11" x14ac:dyDescent="0.25">
      <c r="A6" s="5" t="s">
        <v>238</v>
      </c>
      <c r="B6" s="37">
        <v>1</v>
      </c>
      <c r="C6" s="37">
        <v>2</v>
      </c>
      <c r="D6" s="37">
        <v>3</v>
      </c>
      <c r="E6" s="37">
        <v>4</v>
      </c>
      <c r="F6" s="37">
        <v>5</v>
      </c>
      <c r="G6" s="37">
        <v>6</v>
      </c>
      <c r="H6" s="37">
        <v>7</v>
      </c>
      <c r="I6" s="37">
        <v>8</v>
      </c>
      <c r="J6" s="37">
        <v>9</v>
      </c>
      <c r="K6" s="37">
        <v>10</v>
      </c>
    </row>
    <row r="7" spans="1:11" x14ac:dyDescent="0.25">
      <c r="A7" s="5" t="s">
        <v>50</v>
      </c>
      <c r="B7" s="11">
        <f>Forecast!C20</f>
        <v>14733.490000000002</v>
      </c>
      <c r="C7" s="11">
        <f>Forecast!D20</f>
        <v>17383.283200000002</v>
      </c>
      <c r="D7" s="11">
        <f>Forecast!E20</f>
        <v>20159.759856000004</v>
      </c>
      <c r="E7" s="11">
        <f>Forecast!F20</f>
        <v>23143.868244480003</v>
      </c>
      <c r="F7" s="11">
        <f>Forecast!G20</f>
        <v>26194.063044038405</v>
      </c>
      <c r="G7" s="24">
        <f>F7*(1+G8)</f>
        <v>29270.142568666295</v>
      </c>
      <c r="H7" s="24">
        <f>G7*(1+H8)</f>
        <v>32287.182114696985</v>
      </c>
      <c r="I7" s="24">
        <f>H7*(1+I8)</f>
        <v>35151.607702057474</v>
      </c>
      <c r="J7" s="24">
        <f>I7*(1+J8)</f>
        <v>37765.430511200109</v>
      </c>
      <c r="K7" s="24">
        <f>J7*(1+K8)</f>
        <v>40031.356341872117</v>
      </c>
    </row>
    <row r="8" spans="1:11" x14ac:dyDescent="0.25">
      <c r="A8" s="5" t="s">
        <v>55</v>
      </c>
      <c r="B8" s="13">
        <f>Forecast!C21</f>
        <v>0.18646239330004843</v>
      </c>
      <c r="C8" s="13">
        <f>Forecast!D21</f>
        <v>0.17984830478046954</v>
      </c>
      <c r="D8" s="13">
        <f>Forecast!E21</f>
        <v>0.15972107363469767</v>
      </c>
      <c r="E8" s="13">
        <f>Forecast!F21</f>
        <v>0.14802301266460072</v>
      </c>
      <c r="F8" s="13">
        <f>Forecast!G21</f>
        <v>0.13179278275082207</v>
      </c>
      <c r="G8" s="23">
        <f>$F$8-($F$8-Inputs!$B$23)*(G6-$F$6)/5</f>
        <v>0.11743422620065766</v>
      </c>
      <c r="H8" s="23">
        <f>$F$8-($F$8-Inputs!$B$23)*(H6-$F$6)/5</f>
        <v>0.10307566965049324</v>
      </c>
      <c r="I8" s="23">
        <f>$F$8-($F$8-Inputs!$B$23)*(I6-$F$6)/5</f>
        <v>8.8717113100328829E-2</v>
      </c>
      <c r="J8" s="23">
        <f>$F$8-($F$8-Inputs!$B$23)*(J6-$F$6)/5</f>
        <v>7.4358556550164406E-2</v>
      </c>
      <c r="K8" s="23">
        <f>$F$8-($F$8-Inputs!$B$23)*(K6-$F$6)/5</f>
        <v>0.06</v>
      </c>
    </row>
    <row r="9" spans="1:11" x14ac:dyDescent="0.25">
      <c r="A9" s="5" t="s">
        <v>227</v>
      </c>
      <c r="B9" s="13">
        <f>Forecast!C42</f>
        <v>2.8008097436791959E-2</v>
      </c>
      <c r="C9" s="13">
        <f>Forecast!D42</f>
        <v>4.3622261038945738E-2</v>
      </c>
      <c r="D9" s="13">
        <f>Forecast!E42</f>
        <v>5.3393441216946266E-2</v>
      </c>
      <c r="E9" s="13">
        <f>Forecast!F42</f>
        <v>5.9008487471142755E-2</v>
      </c>
      <c r="F9" s="13">
        <f>Forecast!G42</f>
        <v>6.4882877503126518E-2</v>
      </c>
      <c r="G9" s="23">
        <f>$F$9</f>
        <v>6.4882877503126518E-2</v>
      </c>
      <c r="H9" s="23">
        <f>$F$9</f>
        <v>6.4882877503126518E-2</v>
      </c>
      <c r="I9" s="23">
        <f>$F$9</f>
        <v>6.4882877503126518E-2</v>
      </c>
      <c r="J9" s="23">
        <f>$F$9</f>
        <v>6.4882877503126518E-2</v>
      </c>
      <c r="K9" s="23">
        <f>$F$9</f>
        <v>6.4882877503126518E-2</v>
      </c>
    </row>
    <row r="10" spans="1:11" x14ac:dyDescent="0.25">
      <c r="A10" s="8" t="s">
        <v>226</v>
      </c>
      <c r="B10" s="34">
        <f>Forecast!C41</f>
        <v>412.65702350399999</v>
      </c>
      <c r="C10" s="34">
        <f>Forecast!D41</f>
        <v>758.29811746432006</v>
      </c>
      <c r="D10" s="34">
        <f>Forecast!E41</f>
        <v>1076.3989528190893</v>
      </c>
      <c r="E10" s="34">
        <f>Forecast!F41</f>
        <v>1365.684659338177</v>
      </c>
      <c r="F10" s="34">
        <f>Forecast!G41</f>
        <v>1699.546183795517</v>
      </c>
      <c r="G10" s="22">
        <f>G7*G9</f>
        <v>1899.1310747818243</v>
      </c>
      <c r="H10" s="22">
        <f>H7*H9</f>
        <v>2094.8852820690217</v>
      </c>
      <c r="I10" s="22">
        <f>I7*I9</f>
        <v>2280.7374565705536</v>
      </c>
      <c r="J10" s="22">
        <f>J7*J9</f>
        <v>2450.3298017110333</v>
      </c>
      <c r="K10" s="22">
        <f>K7*K9</f>
        <v>2597.3495898136953</v>
      </c>
    </row>
    <row r="11" spans="1:11" x14ac:dyDescent="0.25">
      <c r="A11" s="5" t="s">
        <v>239</v>
      </c>
      <c r="B11" s="38">
        <f>1/(1+Inputs!$B$22)^B6</f>
        <v>0.87136218846479174</v>
      </c>
      <c r="C11" s="38">
        <f>1/(1+Inputs!$B$22)^C6</f>
        <v>0.75927206348615128</v>
      </c>
      <c r="D11" s="38">
        <f>1/(1+Inputs!$B$22)^D6</f>
        <v>0.66160096687947112</v>
      </c>
      <c r="E11" s="38">
        <f>1/(1+Inputs!$B$22)^E6</f>
        <v>0.57649406639051815</v>
      </c>
      <c r="F11" s="38">
        <f>1/(1+Inputs!$B$22)^F6</f>
        <v>0.50233513132700891</v>
      </c>
      <c r="G11" s="38">
        <f>1/(1+Inputs!$B$22)^G6</f>
        <v>0.43771583937585107</v>
      </c>
      <c r="H11" s="38">
        <f>1/(1+Inputs!$B$22)^H6</f>
        <v>0.38140903172424484</v>
      </c>
      <c r="I11" s="38">
        <f>1/(1+Inputs!$B$22)^I6</f>
        <v>0.33234540858347522</v>
      </c>
      <c r="J11" s="38">
        <f>1/(1+Inputs!$B$22)^J6</f>
        <v>0.28959322254952236</v>
      </c>
      <c r="K11" s="38">
        <f>1/(1+Inputs!$B$22)^K6</f>
        <v>0.25234058416532329</v>
      </c>
    </row>
    <row r="12" spans="1:11" x14ac:dyDescent="0.25">
      <c r="A12" s="5" t="s">
        <v>240</v>
      </c>
      <c r="B12" s="24">
        <f t="shared" ref="B12:K12" si="0">B10*B11</f>
        <v>359.57372708581244</v>
      </c>
      <c r="C12" s="24">
        <f t="shared" si="0"/>
        <v>575.75457638479827</v>
      </c>
      <c r="D12" s="24">
        <f t="shared" si="0"/>
        <v>712.14658793315971</v>
      </c>
      <c r="E12" s="24">
        <f t="shared" si="0"/>
        <v>787.30910266901515</v>
      </c>
      <c r="F12" s="24">
        <f t="shared" si="0"/>
        <v>853.74175543323781</v>
      </c>
      <c r="G12" s="24">
        <f t="shared" si="0"/>
        <v>831.2797524828884</v>
      </c>
      <c r="H12" s="24">
        <f t="shared" si="0"/>
        <v>799.00816700731707</v>
      </c>
      <c r="I12" s="24">
        <f t="shared" si="0"/>
        <v>757.99262187557667</v>
      </c>
      <c r="J12" s="24">
        <f t="shared" si="0"/>
        <v>709.59890358663029</v>
      </c>
      <c r="K12" s="24">
        <f t="shared" si="0"/>
        <v>655.4167127751507</v>
      </c>
    </row>
    <row r="14" spans="1:11" x14ac:dyDescent="0.25">
      <c r="A14" s="19" t="s">
        <v>241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5" t="s">
        <v>242</v>
      </c>
      <c r="B15" s="24">
        <f>SUM(B12:K12)</f>
        <v>7041.821907233586</v>
      </c>
    </row>
    <row r="16" spans="1:11" x14ac:dyDescent="0.25">
      <c r="A16" s="5" t="s">
        <v>243</v>
      </c>
      <c r="B16" s="24">
        <f>IF(Inputs!$B$22&gt;Inputs!$B$23,K10*(1+Inputs!$B$23)/(Inputs!$B$22-Inputs!$B$23),NA())</f>
        <v>31418.927595724006</v>
      </c>
    </row>
    <row r="17" spans="1:11" x14ac:dyDescent="0.25">
      <c r="A17" s="5" t="s">
        <v>244</v>
      </c>
      <c r="B17" s="24">
        <f>B16*K11</f>
        <v>7928.2705433529918</v>
      </c>
    </row>
    <row r="18" spans="1:11" x14ac:dyDescent="0.25">
      <c r="A18" s="8" t="s">
        <v>245</v>
      </c>
      <c r="B18" s="22">
        <f>B15+B17</f>
        <v>14970.092450586577</v>
      </c>
    </row>
    <row r="19" spans="1:11" x14ac:dyDescent="0.25">
      <c r="A19" s="5" t="s">
        <v>246</v>
      </c>
      <c r="B19" s="11">
        <f>Inputs!B11</f>
        <v>4223</v>
      </c>
    </row>
    <row r="20" spans="1:11" x14ac:dyDescent="0.25">
      <c r="A20" s="8" t="s">
        <v>247</v>
      </c>
      <c r="B20" s="22">
        <f>B18+B19</f>
        <v>19193.092450586577</v>
      </c>
    </row>
    <row r="21" spans="1:11" x14ac:dyDescent="0.25">
      <c r="A21" s="5" t="s">
        <v>248</v>
      </c>
      <c r="B21" s="39">
        <f>Inputs!B7</f>
        <v>157.55000000000001</v>
      </c>
    </row>
    <row r="22" spans="1:11" x14ac:dyDescent="0.25">
      <c r="A22" s="8" t="s">
        <v>6</v>
      </c>
      <c r="B22" s="9">
        <f>B20/B21</f>
        <v>121.82223072412933</v>
      </c>
    </row>
    <row r="23" spans="1:11" x14ac:dyDescent="0.25">
      <c r="A23" s="5" t="s">
        <v>5</v>
      </c>
      <c r="B23" s="7">
        <f>Inputs!B6</f>
        <v>879</v>
      </c>
    </row>
    <row r="24" spans="1:11" x14ac:dyDescent="0.25">
      <c r="A24" s="8" t="s">
        <v>12</v>
      </c>
      <c r="B24" s="10">
        <f>B22/B23-1</f>
        <v>-0.86140815617277666</v>
      </c>
    </row>
    <row r="25" spans="1:11" x14ac:dyDescent="0.25">
      <c r="A25" s="5" t="s">
        <v>249</v>
      </c>
      <c r="B25" s="23">
        <f>B17/B18</f>
        <v>0.52960732002976618</v>
      </c>
      <c r="C25" s="2" t="s">
        <v>250</v>
      </c>
    </row>
    <row r="26" spans="1:11" x14ac:dyDescent="0.25">
      <c r="A26" s="5" t="s">
        <v>251</v>
      </c>
      <c r="B26" s="13">
        <f>Inputs!B22</f>
        <v>0.1476284066925701</v>
      </c>
    </row>
    <row r="27" spans="1:11" x14ac:dyDescent="0.25">
      <c r="A27" s="5" t="s">
        <v>252</v>
      </c>
      <c r="B27" s="13">
        <f>Inputs!B23</f>
        <v>0.06</v>
      </c>
    </row>
    <row r="29" spans="1:11" x14ac:dyDescent="0.25">
      <c r="A29" s="19" t="s">
        <v>253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x14ac:dyDescent="0.25">
      <c r="A30" s="8" t="s">
        <v>254</v>
      </c>
      <c r="B30" s="10">
        <f>Inputs!$B$23+(-0.01)</f>
        <v>4.9999999999999996E-2</v>
      </c>
      <c r="C30" s="10">
        <f>Inputs!$B$23+(-0.005)</f>
        <v>5.5E-2</v>
      </c>
      <c r="D30" s="10">
        <f>Inputs!$B$23+(0)</f>
        <v>0.06</v>
      </c>
      <c r="E30" s="10">
        <f>Inputs!$B$23+(0.005)</f>
        <v>6.5000000000000002E-2</v>
      </c>
      <c r="F30" s="10">
        <f>Inputs!$B$23+(0.01)</f>
        <v>6.9999999999999993E-2</v>
      </c>
    </row>
    <row r="31" spans="1:11" x14ac:dyDescent="0.25">
      <c r="A31" s="10">
        <f>Inputs!$B$22+(-0.01)</f>
        <v>0.13762840669257009</v>
      </c>
      <c r="B31" s="40">
        <f>(SUMPRODUCT($B$10:$K$10/(1+$A31)^$B$6:$K$6)+$K$10*(1+B$30)/($A31-B$30)/(1+$A31)^$K$6+Inputs!$B$11)/Inputs!$B$7</f>
        <v>128.23529497084644</v>
      </c>
      <c r="C31" s="40">
        <f>(SUMPRODUCT($B$10:$K$10/(1+$A31)^$B$6:$K$6)+$K$10*(1+C$30)/($A31-C$30)/(1+$A31)^$K$6+Inputs!$B$11)/Inputs!$B$7</f>
        <v>131.80230113217587</v>
      </c>
      <c r="D31" s="40">
        <f>(SUMPRODUCT($B$10:$K$10/(1+$A31)^$B$6:$K$6)+$K$10*(1+D$30)/($A31-D$30)/(1+$A31)^$K$6+Inputs!$B$11)/Inputs!$B$7</f>
        <v>135.82880482969151</v>
      </c>
      <c r="E31" s="40">
        <f>(SUMPRODUCT($B$10:$K$10/(1+$A31)^$B$6:$K$6)+$K$10*(1+E$30)/($A31-E$30)/(1+$A31)^$K$6+Inputs!$B$11)/Inputs!$B$7</f>
        <v>140.40970643855871</v>
      </c>
      <c r="F31" s="40">
        <f>(SUMPRODUCT($B$10:$K$10/(1+$A31)^$B$6:$K$6)+$K$10*(1+F$30)/($A31-F$30)/(1+$A31)^$K$6+Inputs!$B$11)/Inputs!$B$7</f>
        <v>145.6679715745147</v>
      </c>
    </row>
    <row r="32" spans="1:11" x14ac:dyDescent="0.25">
      <c r="A32" s="10">
        <f>Inputs!$B$22+(-0.005)</f>
        <v>0.1426284066925701</v>
      </c>
      <c r="B32" s="40">
        <f>(SUMPRODUCT($B$10:$K$10/(1+$A32)^$B$6:$K$6)+$K$10*(1+B$30)/($A32-B$30)/(1+$A32)^$K$6+Inputs!$B$11)/Inputs!$B$7</f>
        <v>121.90534755762542</v>
      </c>
      <c r="C32" s="40">
        <f>(SUMPRODUCT($B$10:$K$10/(1+$A32)^$B$6:$K$6)+$K$10*(1+C$30)/($A32-C$30)/(1+$A32)^$K$6+Inputs!$B$11)/Inputs!$B$7</f>
        <v>124.96412405235282</v>
      </c>
      <c r="D32" s="40">
        <f>(SUMPRODUCT($B$10:$K$10/(1+$A32)^$B$6:$K$6)+$K$10*(1+D$30)/($A32-D$30)/(1+$A32)^$K$6+Inputs!$B$11)/Inputs!$B$7</f>
        <v>128.3930851624157</v>
      </c>
      <c r="E32" s="40">
        <f>(SUMPRODUCT($B$10:$K$10/(1+$A32)^$B$6:$K$6)+$K$10*(1+E$30)/($A32-E$30)/(1+$A32)^$K$6+Inputs!$B$11)/Inputs!$B$7</f>
        <v>132.26376100760675</v>
      </c>
      <c r="F32" s="40">
        <f>(SUMPRODUCT($B$10:$K$10/(1+$A32)^$B$6:$K$6)+$K$10*(1+F$30)/($A32-F$30)/(1+$A32)^$K$6+Inputs!$B$11)/Inputs!$B$7</f>
        <v>136.66737926768172</v>
      </c>
    </row>
    <row r="33" spans="1:11" x14ac:dyDescent="0.25">
      <c r="A33" s="10">
        <f>Inputs!$B$22+(0)</f>
        <v>0.1476284066925701</v>
      </c>
      <c r="B33" s="40">
        <f>(SUMPRODUCT($B$10:$K$10/(1+$A33)^$B$6:$K$6)+$K$10*(1+B$30)/($A33-B$30)/(1+$A33)^$K$6+Inputs!$B$11)/Inputs!$B$7</f>
        <v>116.2416515154852</v>
      </c>
      <c r="C33" s="40">
        <f>(SUMPRODUCT($B$10:$K$10/(1+$A33)^$B$6:$K$6)+$K$10*(1+C$30)/($A33-C$30)/(1+$A33)^$K$6+Inputs!$B$11)/Inputs!$B$7</f>
        <v>118.88132373881403</v>
      </c>
      <c r="D33" s="40">
        <f>(SUMPRODUCT($B$10:$K$10/(1+$A33)^$B$6:$K$6)+$K$10*(1+D$30)/($A33-D$30)/(1+$A33)^$K$6+Inputs!$B$11)/Inputs!$B$7</f>
        <v>121.82223072412933</v>
      </c>
      <c r="E33" s="40">
        <f>(SUMPRODUCT($B$10:$K$10/(1+$A33)^$B$6:$K$6)+$K$10*(1+E$30)/($A33-E$30)/(1+$A33)^$K$6+Inputs!$B$11)/Inputs!$B$7</f>
        <v>125.11905731421895</v>
      </c>
      <c r="F33" s="40">
        <f>(SUMPRODUCT($B$10:$K$10/(1+$A33)^$B$6:$K$6)+$K$10*(1+F$30)/($A33-F$30)/(1+$A33)^$K$6+Inputs!$B$11)/Inputs!$B$7</f>
        <v>128.8405772260646</v>
      </c>
    </row>
    <row r="34" spans="1:11" x14ac:dyDescent="0.25">
      <c r="A34" s="10">
        <f>Inputs!$B$22+(0.005)</f>
        <v>0.15262840669257011</v>
      </c>
      <c r="B34" s="40">
        <f>(SUMPRODUCT($B$10:$K$10/(1+$A34)^$B$6:$K$6)+$K$10*(1+B$30)/($A34-B$30)/(1+$A34)^$K$6+Inputs!$B$11)/Inputs!$B$7</f>
        <v>111.14632122762197</v>
      </c>
      <c r="C34" s="40">
        <f>(SUMPRODUCT($B$10:$K$10/(1+$A34)^$B$6:$K$6)+$K$10*(1+C$30)/($A34-C$30)/(1+$A34)^$K$6+Inputs!$B$11)/Inputs!$B$7</f>
        <v>113.43737007241143</v>
      </c>
      <c r="D34" s="40">
        <f>(SUMPRODUCT($B$10:$K$10/(1+$A34)^$B$6:$K$6)+$K$10*(1+D$30)/($A34-D$30)/(1+$A34)^$K$6+Inputs!$B$11)/Inputs!$B$7</f>
        <v>115.97575652416127</v>
      </c>
      <c r="E34" s="40">
        <f>(SUMPRODUCT($B$10:$K$10/(1+$A34)^$B$6:$K$6)+$K$10*(1+E$30)/($A34-E$30)/(1+$A34)^$K$6+Inputs!$B$11)/Inputs!$B$7</f>
        <v>118.80381918338287</v>
      </c>
      <c r="F34" s="40">
        <f>(SUMPRODUCT($B$10:$K$10/(1+$A34)^$B$6:$K$6)+$K$10*(1+F$30)/($A34-F$30)/(1+$A34)^$K$6+Inputs!$B$11)/Inputs!$B$7</f>
        <v>121.97414460336955</v>
      </c>
    </row>
    <row r="35" spans="1:11" x14ac:dyDescent="0.25">
      <c r="A35" s="10">
        <f>Inputs!$B$22+(0.01)</f>
        <v>0.15762840669257011</v>
      </c>
      <c r="B35" s="40">
        <f>(SUMPRODUCT($B$10:$K$10/(1+$A35)^$B$6:$K$6)+$K$10*(1+B$30)/($A35-B$30)/(1+$A35)^$K$6+Inputs!$B$11)/Inputs!$B$7</f>
        <v>106.53967834698734</v>
      </c>
      <c r="C35" s="40">
        <f>(SUMPRODUCT($B$10:$K$10/(1+$A35)^$B$6:$K$6)+$K$10*(1+C$30)/($A35-C$30)/(1+$A35)^$K$6+Inputs!$B$11)/Inputs!$B$7</f>
        <v>108.53845804309061</v>
      </c>
      <c r="D35" s="40">
        <f>(SUMPRODUCT($B$10:$K$10/(1+$A35)^$B$6:$K$6)+$K$10*(1+D$30)/($A35-D$30)/(1+$A35)^$K$6+Inputs!$B$11)/Inputs!$B$7</f>
        <v>110.7419711527379</v>
      </c>
      <c r="E35" s="40">
        <f>(SUMPRODUCT($B$10:$K$10/(1+$A35)^$B$6:$K$6)+$K$10*(1+E$30)/($A35-E$30)/(1+$A35)^$K$6+Inputs!$B$11)/Inputs!$B$7</f>
        <v>113.18337166521623</v>
      </c>
      <c r="F35" s="40">
        <f>(SUMPRODUCT($B$10:$K$10/(1+$A35)^$B$6:$K$6)+$K$10*(1+F$30)/($A35-F$30)/(1+$A35)^$K$6+Inputs!$B$11)/Inputs!$B$7</f>
        <v>115.90338051996918</v>
      </c>
    </row>
    <row r="36" spans="1:11" x14ac:dyDescent="0.25">
      <c r="A36" s="2" t="s">
        <v>255</v>
      </c>
    </row>
    <row r="38" spans="1:11" x14ac:dyDescent="0.25">
      <c r="A38" s="19" t="s">
        <v>256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x14ac:dyDescent="0.25">
      <c r="A39" s="2" t="s">
        <v>257</v>
      </c>
    </row>
    <row r="40" spans="1:11" x14ac:dyDescent="0.25">
      <c r="A40" s="8" t="s">
        <v>258</v>
      </c>
      <c r="B40" s="32">
        <v>0.06</v>
      </c>
      <c r="C40" s="32">
        <v>0.09</v>
      </c>
      <c r="D40" s="32">
        <v>0.12</v>
      </c>
      <c r="E40" s="32">
        <v>0.15</v>
      </c>
    </row>
    <row r="41" spans="1:11" x14ac:dyDescent="0.25">
      <c r="A41" s="32">
        <v>0.1</v>
      </c>
      <c r="B41" s="40">
        <f>(Forecast!$B$20*B$40*IF(ABS(1-((1+$A41)/(1+Inputs!$B$22)))&lt;0.000001,10,((1+$A41)/(1+Inputs!$B$22))*(1-((1+$A41)/(1+Inputs!$B$22))^10)/(1-((1+$A41)/(1+Inputs!$B$22))))+Forecast!$B$20*(1+$A41)^10*B$40*(1+Inputs!$B$23)/(Inputs!$B$22-Inputs!$B$23)/(1+Inputs!$B$22)^10+Inputs!$B$11)/Inputs!$B$7</f>
        <v>101.98180040822967</v>
      </c>
      <c r="C41" s="40">
        <f>(Forecast!$B$20*C$40*IF(ABS(1-((1+$A41)/(1+Inputs!$B$22)))&lt;0.000001,10,((1+$A41)/(1+Inputs!$B$22))*(1-((1+$A41)/(1+Inputs!$B$22))^10)/(1-((1+$A41)/(1+Inputs!$B$22))))+Forecast!$B$20*(1+$A41)^10*C$40*(1+Inputs!$B$23)/(Inputs!$B$22-Inputs!$B$23)/(1+Inputs!$B$22)^10+Inputs!$B$11)/Inputs!$B$7</f>
        <v>139.57060603919311</v>
      </c>
      <c r="D41" s="40">
        <f>(Forecast!$B$20*D$40*IF(ABS(1-((1+$A41)/(1+Inputs!$B$22)))&lt;0.000001,10,((1+$A41)/(1+Inputs!$B$22))*(1-((1+$A41)/(1+Inputs!$B$22))^10)/(1-((1+$A41)/(1+Inputs!$B$22))))+Forecast!$B$20*(1+$A41)^10*D$40*(1+Inputs!$B$23)/(Inputs!$B$22-Inputs!$B$23)/(1+Inputs!$B$22)^10+Inputs!$B$11)/Inputs!$B$7</f>
        <v>177.15941167015657</v>
      </c>
      <c r="E41" s="40">
        <f>(Forecast!$B$20*E$40*IF(ABS(1-((1+$A41)/(1+Inputs!$B$22)))&lt;0.000001,10,((1+$A41)/(1+Inputs!$B$22))*(1-((1+$A41)/(1+Inputs!$B$22))^10)/(1-((1+$A41)/(1+Inputs!$B$22))))+Forecast!$B$20*(1+$A41)^10*E$40*(1+Inputs!$B$23)/(Inputs!$B$22-Inputs!$B$23)/(1+Inputs!$B$22)^10+Inputs!$B$11)/Inputs!$B$7</f>
        <v>214.74821730112001</v>
      </c>
    </row>
    <row r="42" spans="1:11" x14ac:dyDescent="0.25">
      <c r="A42" s="32">
        <v>0.15</v>
      </c>
      <c r="B42" s="40">
        <f>(Forecast!$B$20*B$40*IF(ABS(1-((1+$A42)/(1+Inputs!$B$22)))&lt;0.000001,10,((1+$A42)/(1+Inputs!$B$22))*(1-((1+$A42)/(1+Inputs!$B$22))^10)/(1-((1+$A42)/(1+Inputs!$B$22))))+Forecast!$B$20*(1+$A42)^10*B$40*(1+Inputs!$B$23)/(Inputs!$B$22-Inputs!$B$23)/(1+Inputs!$B$22)^10+Inputs!$B$11)/Inputs!$B$7</f>
        <v>133.03644389743545</v>
      </c>
      <c r="C42" s="40">
        <f>(Forecast!$B$20*C$40*IF(ABS(1-((1+$A42)/(1+Inputs!$B$22)))&lt;0.000001,10,((1+$A42)/(1+Inputs!$B$22))*(1-((1+$A42)/(1+Inputs!$B$22))^10)/(1-((1+$A42)/(1+Inputs!$B$22))))+Forecast!$B$20*(1+$A42)^10*C$40*(1+Inputs!$B$23)/(Inputs!$B$22-Inputs!$B$23)/(1+Inputs!$B$22)^10+Inputs!$B$11)/Inputs!$B$7</f>
        <v>186.15257127300177</v>
      </c>
      <c r="D42" s="40">
        <f>(Forecast!$B$20*D$40*IF(ABS(1-((1+$A42)/(1+Inputs!$B$22)))&lt;0.000001,10,((1+$A42)/(1+Inputs!$B$22))*(1-((1+$A42)/(1+Inputs!$B$22))^10)/(1-((1+$A42)/(1+Inputs!$B$22))))+Forecast!$B$20*(1+$A42)^10*D$40*(1+Inputs!$B$23)/(Inputs!$B$22-Inputs!$B$23)/(1+Inputs!$B$22)^10+Inputs!$B$11)/Inputs!$B$7</f>
        <v>239.26869864856812</v>
      </c>
      <c r="E42" s="40">
        <f>(Forecast!$B$20*E$40*IF(ABS(1-((1+$A42)/(1+Inputs!$B$22)))&lt;0.000001,10,((1+$A42)/(1+Inputs!$B$22))*(1-((1+$A42)/(1+Inputs!$B$22))^10)/(1-((1+$A42)/(1+Inputs!$B$22))))+Forecast!$B$20*(1+$A42)^10*E$40*(1+Inputs!$B$23)/(Inputs!$B$22-Inputs!$B$23)/(1+Inputs!$B$22)^10+Inputs!$B$11)/Inputs!$B$7</f>
        <v>292.38482602413444</v>
      </c>
    </row>
    <row r="43" spans="1:11" x14ac:dyDescent="0.25">
      <c r="A43" s="32">
        <v>0.2</v>
      </c>
      <c r="B43" s="40">
        <f>(Forecast!$B$20*B$40*IF(ABS(1-((1+$A43)/(1+Inputs!$B$22)))&lt;0.000001,10,((1+$A43)/(1+Inputs!$B$22))*(1-((1+$A43)/(1+Inputs!$B$22))^10)/(1-((1+$A43)/(1+Inputs!$B$22))))+Forecast!$B$20*(1+$A43)^10*B$40*(1+Inputs!$B$23)/(Inputs!$B$22-Inputs!$B$23)/(1+Inputs!$B$22)^10+Inputs!$B$11)/Inputs!$B$7</f>
        <v>177.12980684156744</v>
      </c>
      <c r="C43" s="40">
        <f>(Forecast!$B$20*C$40*IF(ABS(1-((1+$A43)/(1+Inputs!$B$22)))&lt;0.000001,10,((1+$A43)/(1+Inputs!$B$22))*(1-((1+$A43)/(1+Inputs!$B$22))^10)/(1-((1+$A43)/(1+Inputs!$B$22))))+Forecast!$B$20*(1+$A43)^10*C$40*(1+Inputs!$B$23)/(Inputs!$B$22-Inputs!$B$23)/(1+Inputs!$B$22)^10+Inputs!$B$11)/Inputs!$B$7</f>
        <v>252.29261568919975</v>
      </c>
      <c r="D43" s="40">
        <f>(Forecast!$B$20*D$40*IF(ABS(1-((1+$A43)/(1+Inputs!$B$22)))&lt;0.000001,10,((1+$A43)/(1+Inputs!$B$22))*(1-((1+$A43)/(1+Inputs!$B$22))^10)/(1-((1+$A43)/(1+Inputs!$B$22))))+Forecast!$B$20*(1+$A43)^10*D$40*(1+Inputs!$B$23)/(Inputs!$B$22-Inputs!$B$23)/(1+Inputs!$B$22)^10+Inputs!$B$11)/Inputs!$B$7</f>
        <v>327.45542453683208</v>
      </c>
      <c r="E43" s="40">
        <f>(Forecast!$B$20*E$40*IF(ABS(1-((1+$A43)/(1+Inputs!$B$22)))&lt;0.000001,10,((1+$A43)/(1+Inputs!$B$22))*(1-((1+$A43)/(1+Inputs!$B$22))^10)/(1-((1+$A43)/(1+Inputs!$B$22))))+Forecast!$B$20*(1+$A43)^10*E$40*(1+Inputs!$B$23)/(Inputs!$B$22-Inputs!$B$23)/(1+Inputs!$B$22)^10+Inputs!$B$11)/Inputs!$B$7</f>
        <v>402.61823338446447</v>
      </c>
    </row>
    <row r="44" spans="1:11" x14ac:dyDescent="0.25">
      <c r="A44" s="32">
        <v>0.25</v>
      </c>
      <c r="B44" s="40">
        <f>(Forecast!$B$20*B$40*IF(ABS(1-((1+$A44)/(1+Inputs!$B$22)))&lt;0.000001,10,((1+$A44)/(1+Inputs!$B$22))*(1-((1+$A44)/(1+Inputs!$B$22))^10)/(1-((1+$A44)/(1+Inputs!$B$22))))+Forecast!$B$20*(1+$A44)^10*B$40*(1+Inputs!$B$23)/(Inputs!$B$22-Inputs!$B$23)/(1+Inputs!$B$22)^10+Inputs!$B$11)/Inputs!$B$7</f>
        <v>239.20740491395495</v>
      </c>
      <c r="C44" s="40">
        <f>(Forecast!$B$20*C$40*IF(ABS(1-((1+$A44)/(1+Inputs!$B$22)))&lt;0.000001,10,((1+$A44)/(1+Inputs!$B$22))*(1-((1+$A44)/(1+Inputs!$B$22))^10)/(1-((1+$A44)/(1+Inputs!$B$22))))+Forecast!$B$20*(1+$A44)^10*C$40*(1+Inputs!$B$23)/(Inputs!$B$22-Inputs!$B$23)/(1+Inputs!$B$22)^10+Inputs!$B$11)/Inputs!$B$7</f>
        <v>345.40901279778103</v>
      </c>
      <c r="D44" s="40">
        <f>(Forecast!$B$20*D$40*IF(ABS(1-((1+$A44)/(1+Inputs!$B$22)))&lt;0.000001,10,((1+$A44)/(1+Inputs!$B$22))*(1-((1+$A44)/(1+Inputs!$B$22))^10)/(1-((1+$A44)/(1+Inputs!$B$22))))+Forecast!$B$20*(1+$A44)^10*D$40*(1+Inputs!$B$23)/(Inputs!$B$22-Inputs!$B$23)/(1+Inputs!$B$22)^10+Inputs!$B$11)/Inputs!$B$7</f>
        <v>451.61062068160709</v>
      </c>
      <c r="E44" s="40">
        <f>(Forecast!$B$20*E$40*IF(ABS(1-((1+$A44)/(1+Inputs!$B$22)))&lt;0.000001,10,((1+$A44)/(1+Inputs!$B$22))*(1-((1+$A44)/(1+Inputs!$B$22))^10)/(1-((1+$A44)/(1+Inputs!$B$22))))+Forecast!$B$20*(1+$A44)^10*E$40*(1+Inputs!$B$23)/(Inputs!$B$22-Inputs!$B$23)/(1+Inputs!$B$22)^10+Inputs!$B$11)/Inputs!$B$7</f>
        <v>557.81222856543332</v>
      </c>
    </row>
    <row r="45" spans="1:11" x14ac:dyDescent="0.25">
      <c r="A45" s="32">
        <v>0.3</v>
      </c>
      <c r="B45" s="40">
        <f>(Forecast!$B$20*B$40*IF(ABS(1-((1+$A45)/(1+Inputs!$B$22)))&lt;0.000001,10,((1+$A45)/(1+Inputs!$B$22))*(1-((1+$A45)/(1+Inputs!$B$22))^10)/(1-((1+$A45)/(1+Inputs!$B$22))))+Forecast!$B$20*(1+$A45)^10*B$40*(1+Inputs!$B$23)/(Inputs!$B$22-Inputs!$B$23)/(1+Inputs!$B$22)^10+Inputs!$B$11)/Inputs!$B$7</f>
        <v>325.82233425323545</v>
      </c>
      <c r="C45" s="40">
        <f>(Forecast!$B$20*C$40*IF(ABS(1-((1+$A45)/(1+Inputs!$B$22)))&lt;0.000001,10,((1+$A45)/(1+Inputs!$B$22))*(1-((1+$A45)/(1+Inputs!$B$22))^10)/(1-((1+$A45)/(1+Inputs!$B$22))))+Forecast!$B$20*(1+$A45)^10*C$40*(1+Inputs!$B$23)/(Inputs!$B$22-Inputs!$B$23)/(1+Inputs!$B$22)^10+Inputs!$B$11)/Inputs!$B$7</f>
        <v>475.33140680670181</v>
      </c>
      <c r="D45" s="40">
        <f>(Forecast!$B$20*D$40*IF(ABS(1-((1+$A45)/(1+Inputs!$B$22)))&lt;0.000001,10,((1+$A45)/(1+Inputs!$B$22))*(1-((1+$A45)/(1+Inputs!$B$22))^10)/(1-((1+$A45)/(1+Inputs!$B$22))))+Forecast!$B$20*(1+$A45)^10*D$40*(1+Inputs!$B$23)/(Inputs!$B$22-Inputs!$B$23)/(1+Inputs!$B$22)^10+Inputs!$B$11)/Inputs!$B$7</f>
        <v>624.84047936016816</v>
      </c>
      <c r="E45" s="40">
        <f>(Forecast!$B$20*E$40*IF(ABS(1-((1+$A45)/(1+Inputs!$B$22)))&lt;0.000001,10,((1+$A45)/(1+Inputs!$B$22))*(1-((1+$A45)/(1+Inputs!$B$22))^10)/(1-((1+$A45)/(1+Inputs!$B$22))))+Forecast!$B$20*(1+$A45)^10*E$40*(1+Inputs!$B$23)/(Inputs!$B$22-Inputs!$B$23)/(1+Inputs!$B$22)^10+Inputs!$B$11)/Inputs!$B$7</f>
        <v>774.34955191363451</v>
      </c>
    </row>
    <row r="46" spans="1:11" x14ac:dyDescent="0.25">
      <c r="A46" s="32">
        <v>0.35</v>
      </c>
      <c r="B46" s="40">
        <f>(Forecast!$B$20*B$40*IF(ABS(1-((1+$A46)/(1+Inputs!$B$22)))&lt;0.000001,10,((1+$A46)/(1+Inputs!$B$22))*(1-((1+$A46)/(1+Inputs!$B$22))^10)/(1-((1+$A46)/(1+Inputs!$B$22))))+Forecast!$B$20*(1+$A46)^10*B$40*(1+Inputs!$B$23)/(Inputs!$B$22-Inputs!$B$23)/(1+Inputs!$B$22)^10+Inputs!$B$11)/Inputs!$B$7</f>
        <v>445.56902571231353</v>
      </c>
      <c r="C46" s="40">
        <f>(Forecast!$B$20*C$40*IF(ABS(1-((1+$A46)/(1+Inputs!$B$22)))&lt;0.000001,10,((1+$A46)/(1+Inputs!$B$22))*(1-((1+$A46)/(1+Inputs!$B$22))^10)/(1-((1+$A46)/(1+Inputs!$B$22))))+Forecast!$B$20*(1+$A46)^10*C$40*(1+Inputs!$B$23)/(Inputs!$B$22-Inputs!$B$23)/(1+Inputs!$B$22)^10+Inputs!$B$11)/Inputs!$B$7</f>
        <v>654.95144399531887</v>
      </c>
      <c r="D46" s="40">
        <f>(Forecast!$B$20*D$40*IF(ABS(1-((1+$A46)/(1+Inputs!$B$22)))&lt;0.000001,10,((1+$A46)/(1+Inputs!$B$22))*(1-((1+$A46)/(1+Inputs!$B$22))^10)/(1-((1+$A46)/(1+Inputs!$B$22))))+Forecast!$B$20*(1+$A46)^10*D$40*(1+Inputs!$B$23)/(Inputs!$B$22-Inputs!$B$23)/(1+Inputs!$B$22)^10+Inputs!$B$11)/Inputs!$B$7</f>
        <v>864.33386227832432</v>
      </c>
      <c r="E46" s="40">
        <f>(Forecast!$B$20*E$40*IF(ABS(1-((1+$A46)/(1+Inputs!$B$22)))&lt;0.000001,10,((1+$A46)/(1+Inputs!$B$22))*(1-((1+$A46)/(1+Inputs!$B$22))^10)/(1-((1+$A46)/(1+Inputs!$B$22))))+Forecast!$B$20*(1+$A46)^10*E$40*(1+Inputs!$B$23)/(Inputs!$B$22-Inputs!$B$23)/(1+Inputs!$B$22)^10+Inputs!$B$11)/Inputs!$B$7</f>
        <v>1073.7162805613298</v>
      </c>
    </row>
    <row r="47" spans="1:11" x14ac:dyDescent="0.25">
      <c r="A47" s="32">
        <v>0.4</v>
      </c>
      <c r="B47" s="40">
        <f>(Forecast!$B$20*B$40*IF(ABS(1-((1+$A47)/(1+Inputs!$B$22)))&lt;0.000001,10,((1+$A47)/(1+Inputs!$B$22))*(1-((1+$A47)/(1+Inputs!$B$22))^10)/(1-((1+$A47)/(1+Inputs!$B$22))))+Forecast!$B$20*(1+$A47)^10*B$40*(1+Inputs!$B$23)/(Inputs!$B$22-Inputs!$B$23)/(1+Inputs!$B$22)^10+Inputs!$B$11)/Inputs!$B$7</f>
        <v>609.61108545244872</v>
      </c>
      <c r="C47" s="40">
        <f>(Forecast!$B$20*C$40*IF(ABS(1-((1+$A47)/(1+Inputs!$B$22)))&lt;0.000001,10,((1+$A47)/(1+Inputs!$B$22))*(1-((1+$A47)/(1+Inputs!$B$22))^10)/(1-((1+$A47)/(1+Inputs!$B$22))))+Forecast!$B$20*(1+$A47)^10*C$40*(1+Inputs!$B$23)/(Inputs!$B$22-Inputs!$B$23)/(1+Inputs!$B$22)^10+Inputs!$B$11)/Inputs!$B$7</f>
        <v>901.01453360552171</v>
      </c>
      <c r="D47" s="40">
        <f>(Forecast!$B$20*D$40*IF(ABS(1-((1+$A47)/(1+Inputs!$B$22)))&lt;0.000001,10,((1+$A47)/(1+Inputs!$B$22))*(1-((1+$A47)/(1+Inputs!$B$22))^10)/(1-((1+$A47)/(1+Inputs!$B$22))))+Forecast!$B$20*(1+$A47)^10*D$40*(1+Inputs!$B$23)/(Inputs!$B$22-Inputs!$B$23)/(1+Inputs!$B$22)^10+Inputs!$B$11)/Inputs!$B$7</f>
        <v>1192.4179817585946</v>
      </c>
      <c r="E47" s="40">
        <f>(Forecast!$B$20*E$40*IF(ABS(1-((1+$A47)/(1+Inputs!$B$22)))&lt;0.000001,10,((1+$A47)/(1+Inputs!$B$22))*(1-((1+$A47)/(1+Inputs!$B$22))^10)/(1-((1+$A47)/(1+Inputs!$B$22))))+Forecast!$B$20*(1+$A47)^10*E$40*(1+Inputs!$B$23)/(Inputs!$B$22-Inputs!$B$23)/(1+Inputs!$B$22)^10+Inputs!$B$11)/Inputs!$B$7</f>
        <v>1483.8214299116676</v>
      </c>
    </row>
    <row r="48" spans="1:11" x14ac:dyDescent="0.25">
      <c r="A48" s="2" t="s">
        <v>319</v>
      </c>
    </row>
  </sheetData>
  <conditionalFormatting sqref="B41:E47">
    <cfRule type="cellIs" dxfId="0" priority="1" operator="greaterThanOrEqual">
      <formula>$B$23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4" sqref="L4"/>
    </sheetView>
  </sheetViews>
  <sheetFormatPr defaultColWidth="8.7109375" defaultRowHeight="15" x14ac:dyDescent="0.25"/>
  <cols>
    <col min="1" max="1" width="26" customWidth="1"/>
    <col min="2" max="2" width="13" customWidth="1"/>
    <col min="3" max="3" width="11" customWidth="1"/>
    <col min="4" max="5" width="14" customWidth="1"/>
    <col min="6" max="7" width="12" customWidth="1"/>
    <col min="8" max="8" width="14" customWidth="1"/>
    <col min="9" max="9" width="11" customWidth="1"/>
    <col min="10" max="10" width="9" customWidth="1"/>
    <col min="11" max="11" width="16" customWidth="1"/>
    <col min="12" max="12" width="105.7109375" customWidth="1"/>
  </cols>
  <sheetData>
    <row r="1" spans="1:12" ht="18" x14ac:dyDescent="0.25">
      <c r="A1" s="18" t="s">
        <v>259</v>
      </c>
    </row>
    <row r="2" spans="1:12" x14ac:dyDescent="0.25">
      <c r="A2" s="2" t="s">
        <v>260</v>
      </c>
    </row>
    <row r="4" spans="1:12" x14ac:dyDescent="0.25">
      <c r="A4" s="3" t="s">
        <v>261</v>
      </c>
      <c r="B4" s="4" t="s">
        <v>262</v>
      </c>
      <c r="C4" s="4" t="s">
        <v>263</v>
      </c>
      <c r="D4" s="4" t="s">
        <v>264</v>
      </c>
      <c r="E4" s="4" t="s">
        <v>265</v>
      </c>
      <c r="F4" s="4" t="s">
        <v>266</v>
      </c>
      <c r="G4" s="4" t="s">
        <v>267</v>
      </c>
      <c r="H4" s="4" t="s">
        <v>268</v>
      </c>
      <c r="I4" s="4" t="s">
        <v>269</v>
      </c>
      <c r="J4" s="4" t="s">
        <v>270</v>
      </c>
      <c r="K4" s="4" t="s">
        <v>271</v>
      </c>
      <c r="L4" s="4" t="s">
        <v>306</v>
      </c>
    </row>
    <row r="5" spans="1:12" x14ac:dyDescent="0.25">
      <c r="A5" s="8" t="s">
        <v>272</v>
      </c>
      <c r="B5" s="5" t="s">
        <v>273</v>
      </c>
      <c r="C5" s="7">
        <f>Inputs!B6</f>
        <v>879</v>
      </c>
      <c r="D5" s="11">
        <f>Inputs!B8</f>
        <v>138486.45000000001</v>
      </c>
      <c r="E5" s="11">
        <f>-Inputs!B11</f>
        <v>-4223</v>
      </c>
      <c r="F5" s="24">
        <f>D5+E5</f>
        <v>134263.45000000001</v>
      </c>
      <c r="G5" s="11">
        <f>Historicals!F8</f>
        <v>1641</v>
      </c>
      <c r="H5" s="11">
        <f>Historicals!F18</f>
        <v>1199</v>
      </c>
      <c r="I5" s="12">
        <f>IF(G5=0,"",F5/G5)</f>
        <v>81.818068251066435</v>
      </c>
      <c r="J5" s="12">
        <f>IF(H5=0,"",D5/H5)</f>
        <v>115.5016263552961</v>
      </c>
      <c r="K5" s="13">
        <f>Historicals!F10</f>
        <v>0.25320415783631045</v>
      </c>
      <c r="L5" s="43" t="s">
        <v>307</v>
      </c>
    </row>
    <row r="6" spans="1:12" x14ac:dyDescent="0.25">
      <c r="A6" s="5" t="s">
        <v>274</v>
      </c>
      <c r="B6" s="5" t="s">
        <v>275</v>
      </c>
      <c r="C6" s="41">
        <v>6900</v>
      </c>
      <c r="D6" s="29">
        <v>146217</v>
      </c>
      <c r="E6" s="29">
        <v>-7193</v>
      </c>
      <c r="F6" s="24">
        <f>IF(D6="","",D6+N(E6))</f>
        <v>139024</v>
      </c>
      <c r="G6" s="29">
        <v>1836</v>
      </c>
      <c r="H6" s="29">
        <v>1514</v>
      </c>
      <c r="I6" s="12">
        <f>IF(OR(F6="",G6=""),"",IF(G6=0,"",F6/G6))</f>
        <v>75.721132897603482</v>
      </c>
      <c r="J6" s="12">
        <f>IF(OR(D6="",H6=""),"",IF(H6=0,"",D6/H6))</f>
        <v>96.576618229854688</v>
      </c>
      <c r="K6" s="30">
        <v>6.0999999999999999E-2</v>
      </c>
      <c r="L6" s="43" t="s">
        <v>301</v>
      </c>
    </row>
    <row r="7" spans="1:12" x14ac:dyDescent="0.25">
      <c r="A7" s="5" t="s">
        <v>276</v>
      </c>
      <c r="B7" s="5" t="s">
        <v>277</v>
      </c>
      <c r="C7" s="41">
        <v>3804</v>
      </c>
      <c r="D7" s="29">
        <v>135468</v>
      </c>
      <c r="E7" s="29">
        <v>-5306</v>
      </c>
      <c r="F7" s="24">
        <f>IF(D7="","",D7+N(E7))</f>
        <v>130162</v>
      </c>
      <c r="G7" s="29">
        <v>1992</v>
      </c>
      <c r="H7" s="29">
        <v>1581</v>
      </c>
      <c r="I7" s="12">
        <f>IF(OR(F7="",G7=""),"",IF(G7=0,"",F7/G7))</f>
        <v>65.342369477911646</v>
      </c>
      <c r="J7" s="12">
        <f>IF(OR(D7="",H7=""),"",IF(H7=0,"",D7/H7))</f>
        <v>85.685009487666036</v>
      </c>
      <c r="K7" s="30">
        <v>0.11799999999999999</v>
      </c>
      <c r="L7" s="43" t="s">
        <v>302</v>
      </c>
    </row>
    <row r="8" spans="1:12" x14ac:dyDescent="0.25">
      <c r="A8" s="5" t="s">
        <v>278</v>
      </c>
      <c r="B8" s="5" t="s">
        <v>279</v>
      </c>
      <c r="C8" s="41">
        <v>31290</v>
      </c>
      <c r="D8" s="29">
        <v>139467</v>
      </c>
      <c r="E8" s="29">
        <v>-4603</v>
      </c>
      <c r="F8" s="24">
        <f>IF(D8="","",D8+N(E8))</f>
        <v>134864</v>
      </c>
      <c r="G8" s="29">
        <v>1268</v>
      </c>
      <c r="H8" s="29">
        <v>1029</v>
      </c>
      <c r="I8" s="12">
        <f>IF(OR(F8="",G8=""),"",IF(G8=0,"",F8/G8))</f>
        <v>106.3596214511041</v>
      </c>
      <c r="J8" s="12">
        <f>IF(OR(D8="",H8=""),"",IF(H8=0,"",D8/H8))</f>
        <v>135.53644314868805</v>
      </c>
      <c r="K8" s="30">
        <v>0.27600000000000002</v>
      </c>
      <c r="L8" s="43" t="s">
        <v>303</v>
      </c>
    </row>
    <row r="9" spans="1:12" x14ac:dyDescent="0.25">
      <c r="A9" s="5" t="s">
        <v>280</v>
      </c>
      <c r="B9" s="5" t="s">
        <v>281</v>
      </c>
      <c r="C9" s="41">
        <v>4253.2</v>
      </c>
      <c r="D9" s="29">
        <v>108903</v>
      </c>
      <c r="E9" s="29">
        <v>-1504</v>
      </c>
      <c r="F9" s="24">
        <f>IF(D9="","",D9+N(E9))</f>
        <v>107399</v>
      </c>
      <c r="G9" s="29">
        <v>1706</v>
      </c>
      <c r="H9" s="29">
        <v>1279</v>
      </c>
      <c r="I9" s="12">
        <f>IF(OR(F9="",G9=""),"",IF(G9=0,"",F9/G9))</f>
        <v>62.953692848769052</v>
      </c>
      <c r="J9" s="12">
        <f>IF(OR(D9="",H9=""),"",IF(H9=0,"",D9/H9))</f>
        <v>85.146989835809222</v>
      </c>
      <c r="K9" s="30">
        <v>0.44600000000000001</v>
      </c>
      <c r="L9" s="43" t="s">
        <v>304</v>
      </c>
    </row>
    <row r="10" spans="1:12" x14ac:dyDescent="0.25">
      <c r="A10" s="5" t="s">
        <v>282</v>
      </c>
      <c r="B10" s="5" t="s">
        <v>283</v>
      </c>
      <c r="C10" s="41">
        <v>2069.6</v>
      </c>
      <c r="D10" s="29">
        <v>2339</v>
      </c>
      <c r="E10" s="29">
        <v>-1286</v>
      </c>
      <c r="F10" s="24">
        <f>IF(D10="","",D10+N(E10))</f>
        <v>1053</v>
      </c>
      <c r="G10" s="29">
        <v>163</v>
      </c>
      <c r="H10" s="29">
        <v>120</v>
      </c>
      <c r="I10" s="12">
        <f>IF(OR(F10="",G10=""),"",IF(G10=0,"",F10/G10))</f>
        <v>6.4601226993865026</v>
      </c>
      <c r="J10" s="12">
        <f>IF(OR(D10="",H10=""),"",IF(H10=0,"",D10/H10))</f>
        <v>19.491666666666667</v>
      </c>
      <c r="K10" s="30">
        <v>0.19600000000000001</v>
      </c>
      <c r="L10" s="43" t="s">
        <v>305</v>
      </c>
    </row>
    <row r="12" spans="1:12" x14ac:dyDescent="0.25">
      <c r="A12" s="8" t="s">
        <v>284</v>
      </c>
      <c r="I12" s="42">
        <f>IF(COUNT(I6:I10)=0,"",MEDIAN(I6:I10))</f>
        <v>65.342369477911646</v>
      </c>
      <c r="J12" s="42">
        <f>IF(COUNT(J6:J10)=0,"",MEDIAN(J6:J10))</f>
        <v>85.685009487666036</v>
      </c>
    </row>
    <row r="13" spans="1:12" x14ac:dyDescent="0.25">
      <c r="A13" s="5" t="s">
        <v>285</v>
      </c>
      <c r="I13" s="12">
        <f>IF(COUNT(I6:I10)=0,"",AVERAGE(I6:I10))</f>
        <v>63.367387874954957</v>
      </c>
      <c r="J13" s="12">
        <f>IF(COUNT(J6:J10)=0,"",AVERAGE(J6:J10))</f>
        <v>84.487345473736937</v>
      </c>
    </row>
    <row r="15" spans="1:12" x14ac:dyDescent="0.25">
      <c r="A15" s="19" t="s">
        <v>286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2" x14ac:dyDescent="0.25">
      <c r="A16" s="5" t="s">
        <v>287</v>
      </c>
      <c r="B16" s="40">
        <f>IF(J12="","",J12*Historicals!F19)</f>
        <v>656.34717267552185</v>
      </c>
    </row>
    <row r="17" spans="1:3" x14ac:dyDescent="0.25">
      <c r="A17" s="5" t="s">
        <v>288</v>
      </c>
      <c r="B17" s="40">
        <f>IF(I12="","",(I12*Historicals!F8+Inputs!B11)/Inputs!B7)</f>
        <v>707.39338821487149</v>
      </c>
    </row>
    <row r="18" spans="1:3" x14ac:dyDescent="0.25">
      <c r="A18" s="8" t="s">
        <v>8</v>
      </c>
      <c r="B18" s="9">
        <f>IF(COUNT(B16:B17)=0,"",AVERAGE(B16:B17))</f>
        <v>681.87028044519661</v>
      </c>
      <c r="C18" s="2" t="s">
        <v>289</v>
      </c>
    </row>
    <row r="20" spans="1:3" x14ac:dyDescent="0.25">
      <c r="A20" s="2" t="s">
        <v>290</v>
      </c>
    </row>
    <row r="22" spans="1:3" x14ac:dyDescent="0.25">
      <c r="A22" s="43" t="s">
        <v>308</v>
      </c>
    </row>
    <row r="23" spans="1:3" x14ac:dyDescent="0.25">
      <c r="A23" s="43" t="s">
        <v>309</v>
      </c>
    </row>
    <row r="24" spans="1:3" x14ac:dyDescent="0.25">
      <c r="A24" s="43" t="s">
        <v>310</v>
      </c>
    </row>
    <row r="25" spans="1:3" x14ac:dyDescent="0.25">
      <c r="A25" s="43" t="s">
        <v>328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Historicals</vt:lpstr>
      <vt:lpstr>Inputs</vt:lpstr>
      <vt:lpstr>Commodity</vt:lpstr>
      <vt:lpstr>Forecast</vt:lpstr>
      <vt:lpstr>DCF</vt:lpstr>
      <vt:lpstr>Comps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Utkarsh Vaibhav</cp:lastModifiedBy>
  <cp:revision>0</cp:revision>
  <dcterms:created xsi:type="dcterms:W3CDTF">2026-09-30T05:46:14Z</dcterms:created>
  <dcterms:modified xsi:type="dcterms:W3CDTF">2026-10-04T08:17:55Z</dcterms:modified>
  <dc:language>en-US</dc:language>
</cp:coreProperties>
</file>